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Marketing\Intermediaries\Affordability Calculators\Broker\Live\"/>
    </mc:Choice>
  </mc:AlternateContent>
  <xr:revisionPtr revIDLastSave="0" documentId="13_ncr:1_{E476E816-5120-49EC-BFE0-056B55EDF69E}" xr6:coauthVersionLast="47" xr6:coauthVersionMax="47" xr10:uidLastSave="{00000000-0000-0000-0000-000000000000}"/>
  <workbookProtection workbookAlgorithmName="SHA-512" workbookHashValue="eNzbQfY9YuuDbLfTO78tYyOmEOfcoC0F6TF3Zngmt4XZzjwyE0tK8kQsdoMTA8nKoYLX8n1wZJqIOzweRX1fzw==" workbookSaltValue="LdMllpN+fVlTZhWL/y2OMQ==" workbookSpinCount="100000" lockStructure="1"/>
  <bookViews>
    <workbookView xWindow="-120" yWindow="-120" windowWidth="29040" windowHeight="15840" tabRatio="667" xr2:uid="{1A092E22-468B-45B6-B5F4-2CDC52642F31}"/>
  </bookViews>
  <sheets>
    <sheet name="Input" sheetId="1" r:id="rId1"/>
    <sheet name="Lists" sheetId="2" state="hidden" r:id="rId2"/>
    <sheet name="GrsIncSum" sheetId="3" state="hidden" r:id="rId3"/>
    <sheet name="SL" sheetId="12" state="hidden" r:id="rId4"/>
    <sheet name="TaxNIUK" sheetId="6" state="hidden" r:id="rId5"/>
    <sheet name="TaxSSGsy" sheetId="9" state="hidden" r:id="rId6"/>
    <sheet name="M" sheetId="4" state="hidden" r:id="rId7"/>
    <sheet name="IncSumUK" sheetId="8" state="hidden" r:id="rId8"/>
    <sheet name="IncforLTI" sheetId="16" state="hidden" r:id="rId9"/>
    <sheet name="IncSumGsy" sheetId="5" state="hidden" r:id="rId10"/>
    <sheet name="Exp" sheetId="10" state="hidden" r:id="rId11"/>
    <sheet name="IncExpSummary" sheetId="11" state="hidden" r:id="rId12"/>
    <sheet name="L1" sheetId="13" state="hidden" r:id="rId13"/>
    <sheet name="LTI" sheetId="15" state="hidden" r:id="rId14"/>
    <sheet name="MaximumLoan" sheetId="14" state="hidden" r:id="rId15"/>
  </sheets>
  <definedNames>
    <definedName name="_xlnm.Print_Area" localSheetId="0">Input!$A$3:$AT$38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3" l="1"/>
  <c r="F10" i="13"/>
  <c r="E7" i="11"/>
  <c r="E5" i="11"/>
  <c r="AQ27" i="1"/>
  <c r="F15" i="13"/>
  <c r="F14" i="13"/>
  <c r="F12" i="13"/>
  <c r="F13" i="13"/>
  <c r="F20" i="11"/>
  <c r="L6" i="13"/>
  <c r="L7" i="13"/>
  <c r="E20" i="11" l="1"/>
  <c r="E13" i="16" l="1"/>
  <c r="E12" i="16"/>
  <c r="D13" i="16"/>
  <c r="D12" i="16"/>
  <c r="E11" i="16"/>
  <c r="E10" i="16"/>
  <c r="E9" i="16"/>
  <c r="D11" i="16"/>
  <c r="F11" i="16" s="1"/>
  <c r="D10" i="16"/>
  <c r="D9" i="16"/>
  <c r="E8" i="16"/>
  <c r="E7" i="16"/>
  <c r="E6" i="16"/>
  <c r="D8" i="16"/>
  <c r="D7" i="16"/>
  <c r="D6" i="16"/>
  <c r="E5" i="16"/>
  <c r="D5" i="16"/>
  <c r="E4" i="16"/>
  <c r="D4" i="16"/>
  <c r="F13" i="16" l="1"/>
  <c r="F12" i="16"/>
  <c r="F8" i="16"/>
  <c r="F9" i="16"/>
  <c r="F10" i="16"/>
  <c r="F7" i="16"/>
  <c r="F4" i="16"/>
  <c r="F6" i="16"/>
  <c r="F5" i="16"/>
  <c r="O11" i="14" l="1"/>
  <c r="O12" i="14"/>
  <c r="O10" i="14"/>
  <c r="F14" i="5"/>
  <c r="E14" i="5"/>
  <c r="F14" i="8"/>
  <c r="E14" i="8"/>
  <c r="Y7" i="3"/>
  <c r="Y29" i="3" s="1"/>
  <c r="E15" i="9" s="1"/>
  <c r="X7" i="3"/>
  <c r="X29" i="3" s="1"/>
  <c r="D15" i="9" s="1"/>
  <c r="T11" i="3"/>
  <c r="T14" i="3" s="1"/>
  <c r="S11" i="3"/>
  <c r="S13" i="3" s="1"/>
  <c r="F17" i="11"/>
  <c r="T13" i="3" l="1"/>
  <c r="T12" i="3"/>
  <c r="S12" i="3"/>
  <c r="S14" i="3"/>
  <c r="E31" i="6"/>
  <c r="D31" i="6"/>
  <c r="AM12" i="10" l="1"/>
  <c r="AM13" i="10"/>
  <c r="AM14" i="10"/>
  <c r="AM15" i="10"/>
  <c r="AM11" i="10"/>
  <c r="AM5" i="10"/>
  <c r="AM6" i="10"/>
  <c r="AM7" i="10"/>
  <c r="AM21" i="10" s="1"/>
  <c r="AM4" i="10"/>
  <c r="L5" i="13"/>
  <c r="AM20" i="10" l="1"/>
  <c r="AM19" i="10"/>
  <c r="AM18" i="10"/>
  <c r="N6" i="13"/>
  <c r="N7" i="13"/>
  <c r="N5" i="13"/>
  <c r="M6" i="13"/>
  <c r="M7" i="13"/>
  <c r="M5" i="13"/>
  <c r="F11" i="13"/>
  <c r="J11" i="14" l="1"/>
  <c r="K11" i="14" s="1"/>
  <c r="J12" i="14"/>
  <c r="K12" i="14" s="1"/>
  <c r="J10" i="14"/>
  <c r="K10" i="14" s="1"/>
  <c r="F6" i="13" l="1"/>
  <c r="F5" i="13"/>
  <c r="F4" i="13"/>
  <c r="F8" i="13" l="1"/>
  <c r="F17" i="13" s="1"/>
  <c r="F18" i="13" s="1"/>
  <c r="E4" i="12"/>
  <c r="D4" i="12"/>
  <c r="D6" i="12" s="1"/>
  <c r="AF7" i="10"/>
  <c r="AF5" i="10"/>
  <c r="AE11" i="10"/>
  <c r="AE10" i="10"/>
  <c r="AE6" i="10"/>
  <c r="AE15" i="10" s="1"/>
  <c r="AF6" i="10"/>
  <c r="AF15" i="10" s="1"/>
  <c r="AE7" i="10"/>
  <c r="AE16" i="10" s="1"/>
  <c r="AE8" i="10"/>
  <c r="AE17" i="10" s="1"/>
  <c r="AF8" i="10"/>
  <c r="AF17" i="10" s="1"/>
  <c r="AE5" i="10"/>
  <c r="Y11" i="10"/>
  <c r="Y12" i="10"/>
  <c r="Y13" i="10"/>
  <c r="Y10" i="10"/>
  <c r="Y7" i="10"/>
  <c r="Y6" i="10"/>
  <c r="Y4" i="10"/>
  <c r="S4" i="10"/>
  <c r="E17" i="11"/>
  <c r="S10" i="10"/>
  <c r="S7" i="10"/>
  <c r="S6" i="10"/>
  <c r="M17" i="10"/>
  <c r="M18" i="10" s="1"/>
  <c r="M12" i="10"/>
  <c r="M11" i="10"/>
  <c r="M6" i="10"/>
  <c r="M7" i="10"/>
  <c r="M5" i="10"/>
  <c r="M8" i="10"/>
  <c r="M4" i="10"/>
  <c r="M10" i="10" s="1"/>
  <c r="E7" i="10"/>
  <c r="B10" i="10" s="1"/>
  <c r="C12" i="10" s="1"/>
  <c r="P31" i="6"/>
  <c r="O31" i="6"/>
  <c r="P24" i="6"/>
  <c r="O24" i="6"/>
  <c r="P17" i="6"/>
  <c r="P23" i="6" s="1"/>
  <c r="O17" i="6"/>
  <c r="O32" i="6"/>
  <c r="O25" i="6"/>
  <c r="O18" i="6"/>
  <c r="O11" i="6"/>
  <c r="R14" i="8"/>
  <c r="K14" i="8"/>
  <c r="H12" i="8"/>
  <c r="N12" i="8" s="1"/>
  <c r="H10" i="8"/>
  <c r="N10" i="8" s="1"/>
  <c r="H9" i="8"/>
  <c r="N9" i="8" s="1"/>
  <c r="H8" i="8"/>
  <c r="N8" i="8" s="1"/>
  <c r="H6" i="8"/>
  <c r="N6" i="8" s="1"/>
  <c r="U5" i="6"/>
  <c r="T5" i="6"/>
  <c r="U4" i="6"/>
  <c r="T4" i="6"/>
  <c r="L14" i="5"/>
  <c r="K14" i="5"/>
  <c r="H12" i="5"/>
  <c r="N12" i="5" s="1"/>
  <c r="H10" i="5"/>
  <c r="N10" i="5" s="1"/>
  <c r="H8" i="5"/>
  <c r="N8" i="5" s="1"/>
  <c r="H6" i="5"/>
  <c r="N6" i="5" s="1"/>
  <c r="T26" i="6"/>
  <c r="T28" i="6"/>
  <c r="T27" i="6"/>
  <c r="T21" i="6"/>
  <c r="T20" i="6"/>
  <c r="T19" i="6"/>
  <c r="T14" i="6"/>
  <c r="T13" i="6"/>
  <c r="T12" i="6"/>
  <c r="D32" i="6"/>
  <c r="D25" i="6"/>
  <c r="D18" i="6"/>
  <c r="D11" i="6"/>
  <c r="T17" i="3"/>
  <c r="T18" i="3"/>
  <c r="T16" i="3"/>
  <c r="S17" i="3"/>
  <c r="S18" i="3"/>
  <c r="S16" i="3"/>
  <c r="T8" i="3"/>
  <c r="T9" i="3"/>
  <c r="T7" i="3"/>
  <c r="S8" i="3"/>
  <c r="S9" i="3"/>
  <c r="S7" i="3"/>
  <c r="O11" i="3"/>
  <c r="O12" i="3"/>
  <c r="O13" i="3"/>
  <c r="O14" i="3"/>
  <c r="O15" i="3"/>
  <c r="O10" i="3"/>
  <c r="N11" i="3"/>
  <c r="N12" i="3"/>
  <c r="N13" i="3"/>
  <c r="N14" i="3"/>
  <c r="N15" i="3"/>
  <c r="N10" i="3"/>
  <c r="N8" i="3"/>
  <c r="O8" i="3"/>
  <c r="O7" i="3"/>
  <c r="N7" i="3"/>
  <c r="J17" i="3"/>
  <c r="J16" i="3"/>
  <c r="I17" i="3"/>
  <c r="I16" i="3"/>
  <c r="J15" i="3"/>
  <c r="I15" i="3"/>
  <c r="J9" i="3"/>
  <c r="J13" i="3" s="1"/>
  <c r="J8" i="3"/>
  <c r="J12" i="3" s="1"/>
  <c r="I9" i="3"/>
  <c r="I13" i="3" s="1"/>
  <c r="I8" i="3"/>
  <c r="I12" i="3" s="1"/>
  <c r="J7" i="3"/>
  <c r="J11" i="3" s="1"/>
  <c r="I7" i="3"/>
  <c r="I11" i="3" s="1"/>
  <c r="E18" i="3"/>
  <c r="D18" i="3"/>
  <c r="E17" i="3"/>
  <c r="D17" i="3"/>
  <c r="E12" i="3"/>
  <c r="D12" i="3"/>
  <c r="E11" i="3"/>
  <c r="D11" i="3"/>
  <c r="E8" i="3"/>
  <c r="D8" i="3"/>
  <c r="E7" i="3"/>
  <c r="D7" i="3"/>
  <c r="E5" i="12" l="1"/>
  <c r="E6" i="12"/>
  <c r="E10" i="10"/>
  <c r="F12" i="10" s="1"/>
  <c r="O18" i="3"/>
  <c r="O22" i="3" s="1"/>
  <c r="O19" i="3"/>
  <c r="O23" i="3" s="1"/>
  <c r="O17" i="3"/>
  <c r="O21" i="3" s="1"/>
  <c r="G20" i="11"/>
  <c r="N19" i="3"/>
  <c r="N23" i="3" s="1"/>
  <c r="N18" i="3"/>
  <c r="N22" i="3" s="1"/>
  <c r="N17" i="3"/>
  <c r="N21" i="3" s="1"/>
  <c r="D9" i="3"/>
  <c r="M13" i="10"/>
  <c r="M25" i="10" s="1"/>
  <c r="M5" i="11" s="1"/>
  <c r="I21" i="3"/>
  <c r="S9" i="10"/>
  <c r="S25" i="10" s="1"/>
  <c r="AF14" i="10"/>
  <c r="J19" i="3"/>
  <c r="J20" i="3"/>
  <c r="J21" i="3"/>
  <c r="D5" i="12"/>
  <c r="Y8" i="10"/>
  <c r="AF16" i="10"/>
  <c r="AE14" i="10"/>
  <c r="AE18" i="10" s="1"/>
  <c r="G17" i="11"/>
  <c r="E9" i="3"/>
  <c r="D13" i="3"/>
  <c r="Q14" i="8"/>
  <c r="E13" i="3"/>
  <c r="C11" i="10"/>
  <c r="T22" i="3"/>
  <c r="T27" i="3" s="1"/>
  <c r="T21" i="3"/>
  <c r="T26" i="3" s="1"/>
  <c r="T20" i="3"/>
  <c r="T25" i="3" s="1"/>
  <c r="S22" i="3"/>
  <c r="S27" i="3" s="1"/>
  <c r="S21" i="3"/>
  <c r="S26" i="3" s="1"/>
  <c r="S20" i="3"/>
  <c r="L14" i="8"/>
  <c r="U6" i="6"/>
  <c r="T6" i="6"/>
  <c r="R14" i="5"/>
  <c r="Q14" i="5"/>
  <c r="D19" i="3"/>
  <c r="E19" i="3"/>
  <c r="I20" i="3"/>
  <c r="I19" i="3"/>
  <c r="O6" i="13" l="1"/>
  <c r="O7" i="13"/>
  <c r="O5" i="13"/>
  <c r="R5" i="13" s="1"/>
  <c r="T29" i="3"/>
  <c r="M6" i="11"/>
  <c r="F11" i="10"/>
  <c r="T23" i="3"/>
  <c r="P6" i="6" s="1"/>
  <c r="S25" i="3"/>
  <c r="S29" i="3" s="1"/>
  <c r="S23" i="3"/>
  <c r="O6" i="6" s="1"/>
  <c r="O36" i="6" s="1"/>
  <c r="N29" i="3"/>
  <c r="O29" i="3"/>
  <c r="D15" i="3"/>
  <c r="D20" i="3" s="1"/>
  <c r="D29" i="3" s="1"/>
  <c r="AF18" i="10"/>
  <c r="AF25" i="10" s="1"/>
  <c r="M8" i="11" s="1"/>
  <c r="J29" i="3"/>
  <c r="E14" i="9" s="1"/>
  <c r="E15" i="3"/>
  <c r="E20" i="3" s="1"/>
  <c r="E29" i="3" s="1"/>
  <c r="Y15" i="10"/>
  <c r="Y16" i="10" s="1"/>
  <c r="Y25" i="10" s="1"/>
  <c r="M7" i="11" s="1"/>
  <c r="I29" i="3"/>
  <c r="D14" i="9" s="1"/>
  <c r="P7" i="13" l="1"/>
  <c r="Q7" i="13" s="1"/>
  <c r="S7" i="13" s="1"/>
  <c r="R7" i="13"/>
  <c r="P6" i="13"/>
  <c r="Q6" i="13" s="1"/>
  <c r="R6" i="13"/>
  <c r="E9" i="11"/>
  <c r="D12" i="9"/>
  <c r="D14" i="16"/>
  <c r="E13" i="9"/>
  <c r="E14" i="16"/>
  <c r="D13" i="9"/>
  <c r="E6" i="6"/>
  <c r="E12" i="9"/>
  <c r="D6" i="6"/>
  <c r="P5" i="13"/>
  <c r="Q5" i="13" s="1"/>
  <c r="S5" i="13" s="1"/>
  <c r="F11" i="11"/>
  <c r="E7" i="12"/>
  <c r="E8" i="12" s="1"/>
  <c r="P36" i="6"/>
  <c r="S6" i="13" l="1"/>
  <c r="S9" i="13" s="1"/>
  <c r="F6" i="8"/>
  <c r="F16" i="8" s="1"/>
  <c r="F6" i="5"/>
  <c r="E6" i="8"/>
  <c r="Q6" i="8" s="1"/>
  <c r="E6" i="5"/>
  <c r="F14" i="16"/>
  <c r="F15" i="16" s="1"/>
  <c r="E9" i="12"/>
  <c r="E10" i="6"/>
  <c r="E16" i="6" s="1"/>
  <c r="E17" i="6" s="1"/>
  <c r="T9" i="6"/>
  <c r="T39" i="6" s="1"/>
  <c r="U9" i="6"/>
  <c r="U15" i="6" s="1"/>
  <c r="U16" i="6" s="1"/>
  <c r="D10" i="6"/>
  <c r="D16" i="6" s="1"/>
  <c r="D17" i="6" s="1"/>
  <c r="D23" i="6" s="1"/>
  <c r="D24" i="6" s="1"/>
  <c r="D30" i="6" s="1"/>
  <c r="K13" i="6" s="1"/>
  <c r="E11" i="11"/>
  <c r="G11" i="11" s="1"/>
  <c r="H15" i="9"/>
  <c r="D7" i="12"/>
  <c r="D8" i="12" s="1"/>
  <c r="D9" i="12" s="1"/>
  <c r="I15" i="9"/>
  <c r="I17" i="9" s="1"/>
  <c r="M15" i="9"/>
  <c r="O23" i="6"/>
  <c r="E16" i="9"/>
  <c r="E36" i="6"/>
  <c r="D36" i="6"/>
  <c r="P10" i="14" l="1"/>
  <c r="AQ26" i="1"/>
  <c r="P11" i="14"/>
  <c r="P12" i="14"/>
  <c r="E12" i="6"/>
  <c r="E13" i="6" s="1"/>
  <c r="U22" i="6"/>
  <c r="U23" i="6" s="1"/>
  <c r="U29" i="6"/>
  <c r="U30" i="6" s="1"/>
  <c r="U39" i="6"/>
  <c r="E16" i="8"/>
  <c r="L6" i="8"/>
  <c r="R6" i="8"/>
  <c r="E23" i="6"/>
  <c r="E24" i="6" s="1"/>
  <c r="E19" i="6"/>
  <c r="D26" i="6"/>
  <c r="D27" i="6" s="1"/>
  <c r="K10" i="6"/>
  <c r="P10" i="6" s="1"/>
  <c r="P16" i="6" s="1"/>
  <c r="P19" i="6" s="1"/>
  <c r="P20" i="6" s="1"/>
  <c r="J11" i="6"/>
  <c r="E33" i="6"/>
  <c r="E34" i="6" s="1"/>
  <c r="J13" i="6"/>
  <c r="J12" i="6"/>
  <c r="O30" i="6" s="1"/>
  <c r="D19" i="6"/>
  <c r="D20" i="6" s="1"/>
  <c r="K11" i="6"/>
  <c r="D33" i="6"/>
  <c r="D34" i="6" s="1"/>
  <c r="K12" i="6"/>
  <c r="P30" i="6" s="1"/>
  <c r="D12" i="6"/>
  <c r="D13" i="6" s="1"/>
  <c r="J10" i="6"/>
  <c r="O10" i="6" s="1"/>
  <c r="O16" i="6" s="1"/>
  <c r="O19" i="6" s="1"/>
  <c r="O20" i="6" s="1"/>
  <c r="H16" i="9"/>
  <c r="L15" i="9"/>
  <c r="D16" i="9"/>
  <c r="D21" i="9" s="1"/>
  <c r="D25" i="9" s="1"/>
  <c r="K6" i="8"/>
  <c r="E20" i="9"/>
  <c r="E21" i="9"/>
  <c r="E25" i="9" s="1"/>
  <c r="E22" i="9"/>
  <c r="E23" i="9"/>
  <c r="L16" i="8"/>
  <c r="R16" i="8"/>
  <c r="T29" i="6"/>
  <c r="T30" i="6" s="1"/>
  <c r="T15" i="6"/>
  <c r="T16" i="6" s="1"/>
  <c r="T22" i="6"/>
  <c r="T23" i="6" s="1"/>
  <c r="AQ28" i="1" l="1"/>
  <c r="U44" i="6"/>
  <c r="F9" i="8" s="1"/>
  <c r="R9" i="8" s="1"/>
  <c r="U40" i="6"/>
  <c r="Q16" i="8"/>
  <c r="Q11" i="14"/>
  <c r="Q12" i="14"/>
  <c r="Q10" i="14"/>
  <c r="O12" i="6"/>
  <c r="O13" i="6" s="1"/>
  <c r="E20" i="6"/>
  <c r="E30" i="6"/>
  <c r="E26" i="6"/>
  <c r="E27" i="6" s="1"/>
  <c r="P33" i="6"/>
  <c r="P34" i="6" s="1"/>
  <c r="P12" i="6"/>
  <c r="P13" i="6" s="1"/>
  <c r="D23" i="9"/>
  <c r="D22" i="9"/>
  <c r="D20" i="9"/>
  <c r="K16" i="8"/>
  <c r="H17" i="9"/>
  <c r="H18" i="9"/>
  <c r="I18" i="9"/>
  <c r="I16" i="9"/>
  <c r="O33" i="6"/>
  <c r="O34" i="6" s="1"/>
  <c r="T44" i="6"/>
  <c r="E9" i="8" s="1"/>
  <c r="T40" i="6"/>
  <c r="D44" i="6"/>
  <c r="D37" i="6"/>
  <c r="U45" i="6" l="1"/>
  <c r="U46" i="6"/>
  <c r="E44" i="6"/>
  <c r="E37" i="6"/>
  <c r="L18" i="9"/>
  <c r="L17" i="9"/>
  <c r="M17" i="9"/>
  <c r="M18" i="9"/>
  <c r="M16" i="9"/>
  <c r="L16" i="9"/>
  <c r="Q9" i="8"/>
  <c r="O26" i="6"/>
  <c r="O27" i="6" s="1"/>
  <c r="O44" i="6" s="1"/>
  <c r="E8" i="8" s="1"/>
  <c r="E10" i="8" s="1"/>
  <c r="L9" i="8"/>
  <c r="P26" i="6"/>
  <c r="P27" i="6" s="1"/>
  <c r="P44" i="6" s="1"/>
  <c r="T46" i="6"/>
  <c r="T45" i="6"/>
  <c r="D45" i="6"/>
  <c r="D46" i="6"/>
  <c r="E12" i="8" l="1"/>
  <c r="E17" i="8" s="1"/>
  <c r="P15" i="9"/>
  <c r="P20" i="9" s="1"/>
  <c r="F8" i="5" s="1"/>
  <c r="F10" i="5" s="1"/>
  <c r="F8" i="8"/>
  <c r="F10" i="8" s="1"/>
  <c r="E46" i="6"/>
  <c r="E45" i="6"/>
  <c r="O15" i="9"/>
  <c r="O20" i="9" s="1"/>
  <c r="E8" i="5" s="1"/>
  <c r="E10" i="5" s="1"/>
  <c r="K9" i="8"/>
  <c r="O46" i="6"/>
  <c r="O45" i="6"/>
  <c r="O37" i="6"/>
  <c r="P45" i="6"/>
  <c r="P46" i="6"/>
  <c r="P37" i="6"/>
  <c r="Q8" i="8"/>
  <c r="Q10" i="8" s="1"/>
  <c r="K8" i="8"/>
  <c r="F12" i="8" l="1"/>
  <c r="F17" i="8" s="1"/>
  <c r="R8" i="5"/>
  <c r="R10" i="5" s="1"/>
  <c r="L8" i="8"/>
  <c r="L10" i="8" s="1"/>
  <c r="R8" i="8"/>
  <c r="R10" i="8" s="1"/>
  <c r="K8" i="5"/>
  <c r="K10" i="5" s="1"/>
  <c r="K10" i="8"/>
  <c r="L8" i="5"/>
  <c r="L10" i="5" s="1"/>
  <c r="Q12" i="8"/>
  <c r="K12" i="8"/>
  <c r="E13" i="11" s="1"/>
  <c r="R12" i="8" l="1"/>
  <c r="L12" i="8"/>
  <c r="F13" i="11" s="1"/>
  <c r="R17" i="8"/>
  <c r="L17" i="8"/>
  <c r="Q8" i="5"/>
  <c r="Q10" i="5" s="1"/>
  <c r="K17" i="8"/>
  <c r="Q17" i="8"/>
  <c r="G13" i="11" l="1"/>
  <c r="AM8" i="10" l="1"/>
  <c r="AM22" i="10" s="1"/>
  <c r="AM25" i="10" s="1"/>
  <c r="M9" i="11" s="1"/>
  <c r="L11" i="14"/>
  <c r="M11" i="14" s="1"/>
  <c r="N11" i="14" s="1"/>
  <c r="R11" i="14" s="1"/>
  <c r="L12" i="14"/>
  <c r="M12" i="14" s="1"/>
  <c r="L10" i="14"/>
  <c r="M10" i="14" s="1"/>
  <c r="N10" i="14" l="1"/>
  <c r="N12" i="14"/>
  <c r="R12" i="14" s="1"/>
  <c r="R10" i="14" l="1"/>
  <c r="L6" i="5" l="1"/>
  <c r="F16" i="5"/>
  <c r="R6" i="5"/>
  <c r="F4" i="10" s="1"/>
  <c r="F12" i="5"/>
  <c r="Q6" i="5"/>
  <c r="E4" i="10" s="1"/>
  <c r="K6" i="5"/>
  <c r="E16" i="5"/>
  <c r="E12" i="5"/>
  <c r="G4" i="10" l="1"/>
  <c r="G5" i="10" s="1"/>
  <c r="C13" i="10" s="1"/>
  <c r="E17" i="5"/>
  <c r="Q12" i="5"/>
  <c r="K12" i="5"/>
  <c r="E14" i="11" s="1"/>
  <c r="E16" i="11" s="1"/>
  <c r="E18" i="11" s="1"/>
  <c r="R16" i="5"/>
  <c r="L16" i="5"/>
  <c r="F17" i="5"/>
  <c r="R12" i="5"/>
  <c r="L12" i="5"/>
  <c r="F14" i="11" s="1"/>
  <c r="F16" i="11" s="1"/>
  <c r="Q16" i="5"/>
  <c r="K16" i="5"/>
  <c r="E22" i="11" l="1"/>
  <c r="AO17" i="1"/>
  <c r="F13" i="10"/>
  <c r="G25" i="10" s="1"/>
  <c r="M4" i="11" s="1"/>
  <c r="M20" i="11" s="1"/>
  <c r="R17" i="5"/>
  <c r="L17" i="5"/>
  <c r="G14" i="11"/>
  <c r="Q17" i="5"/>
  <c r="K17" i="5"/>
  <c r="F18" i="11"/>
  <c r="AO18" i="1" s="1"/>
  <c r="G16" i="11"/>
  <c r="F22" i="11" l="1"/>
  <c r="G22" i="11" s="1"/>
  <c r="M21" i="11" s="1"/>
  <c r="G18" i="11"/>
  <c r="AQ23" i="1" l="1"/>
  <c r="AQ24" i="1" s="1"/>
</calcChain>
</file>

<file path=xl/sharedStrings.xml><?xml version="1.0" encoding="utf-8"?>
<sst xmlns="http://schemas.openxmlformats.org/spreadsheetml/2006/main" count="720" uniqueCount="423">
  <si>
    <t xml:space="preserve">Residential Affordability Calculator </t>
  </si>
  <si>
    <t>Standard Residential - England, Wales</t>
  </si>
  <si>
    <t>Standard Residential - Guernsey</t>
  </si>
  <si>
    <t>Lending Type</t>
  </si>
  <si>
    <t xml:space="preserve">Shared Ownership </t>
  </si>
  <si>
    <t>Property Value</t>
  </si>
  <si>
    <t>Ex-Pat Residential</t>
  </si>
  <si>
    <t>Loan Details</t>
  </si>
  <si>
    <t>YY</t>
  </si>
  <si>
    <t>Term</t>
  </si>
  <si>
    <t>MM</t>
  </si>
  <si>
    <t>Loan Amount</t>
  </si>
  <si>
    <t>Interest Only</t>
  </si>
  <si>
    <t>Repayment</t>
  </si>
  <si>
    <t xml:space="preserve">UK Household </t>
  </si>
  <si>
    <t xml:space="preserve">Number of Dependents </t>
  </si>
  <si>
    <t>From Employment</t>
  </si>
  <si>
    <t>App 1</t>
  </si>
  <si>
    <t>App 2</t>
  </si>
  <si>
    <t>From Pensions</t>
  </si>
  <si>
    <t>Pension Type 1</t>
  </si>
  <si>
    <t xml:space="preserve">Student Loan Liability </t>
  </si>
  <si>
    <t>Plan 1 (Before 09/12)</t>
  </si>
  <si>
    <t>Plan 2 (09/12 Onwards)</t>
  </si>
  <si>
    <t>Post Graduate</t>
  </si>
  <si>
    <t>None</t>
  </si>
  <si>
    <t>Not Known</t>
  </si>
  <si>
    <t>Income From Employment</t>
  </si>
  <si>
    <t>Income From Private Pensions</t>
  </si>
  <si>
    <t xml:space="preserve">Income From State Benefits </t>
  </si>
  <si>
    <t>Income From Other Sources</t>
  </si>
  <si>
    <t>Final Salary</t>
  </si>
  <si>
    <t>SIPP</t>
  </si>
  <si>
    <t>Other</t>
  </si>
  <si>
    <t>Income From Self Employment</t>
  </si>
  <si>
    <t xml:space="preserve">Applicant 1 - State Retirement Age   </t>
  </si>
  <si>
    <t xml:space="preserve">Applicant 2 - State Retirement Age   </t>
  </si>
  <si>
    <t>Number of Applicants/Adults</t>
  </si>
  <si>
    <t>Business Type</t>
  </si>
  <si>
    <t>Ownership Stake</t>
  </si>
  <si>
    <t xml:space="preserve">Income From Self Employment </t>
  </si>
  <si>
    <t xml:space="preserve">Income From Ltd Companies </t>
  </si>
  <si>
    <t>Pension Type 2</t>
  </si>
  <si>
    <t>Pension Type 3</t>
  </si>
  <si>
    <r>
      <t xml:space="preserve">Basic Salary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</si>
  <si>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Overtime/Bonus - </t>
    </r>
    <r>
      <rPr>
        <b/>
        <sz val="9"/>
        <color theme="1"/>
        <rFont val="Calibri"/>
        <family val="2"/>
        <scheme val="minor"/>
      </rPr>
      <t>Gross Annual</t>
    </r>
  </si>
  <si>
    <r>
      <t xml:space="preserve">Pension Contribution - </t>
    </r>
    <r>
      <rPr>
        <b/>
        <sz val="9"/>
        <color theme="1"/>
        <rFont val="Calibri"/>
        <family val="2"/>
        <scheme val="minor"/>
      </rPr>
      <t>Percentage</t>
    </r>
  </si>
  <si>
    <r>
      <t>Pension Income 1 -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</si>
  <si>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2 -</t>
    </r>
    <r>
      <rPr>
        <b/>
        <sz val="9"/>
        <color theme="1"/>
        <rFont val="Calibri"/>
        <family val="2"/>
        <scheme val="minor"/>
      </rPr>
      <t xml:space="preserve"> Gross Annual</t>
    </r>
  </si>
  <si>
    <r>
      <t>Pension Income 3 -</t>
    </r>
    <r>
      <rPr>
        <b/>
        <sz val="9"/>
        <color theme="1"/>
        <rFont val="Calibri"/>
        <family val="2"/>
        <scheme val="minor"/>
      </rPr>
      <t xml:space="preserve"> Gross Annual</t>
    </r>
  </si>
  <si>
    <t>1. Lending Type</t>
  </si>
  <si>
    <t xml:space="preserve">2. Mortgage Details </t>
  </si>
  <si>
    <t>3. Applicant / Household Details</t>
  </si>
  <si>
    <t>4. Older Borrower Details</t>
  </si>
  <si>
    <t>Share Ownership</t>
  </si>
  <si>
    <t>6. Credit Commitments</t>
  </si>
  <si>
    <t>Balances</t>
  </si>
  <si>
    <t>Repayments</t>
  </si>
  <si>
    <t>Credit Cards</t>
  </si>
  <si>
    <t>Loans, Car Finance, etc</t>
  </si>
  <si>
    <t>Overdrafts</t>
  </si>
  <si>
    <t>Travel and Commuting Costs</t>
  </si>
  <si>
    <t>Ground Rent and Service Charges</t>
  </si>
  <si>
    <t xml:space="preserve">Child Maintenance </t>
  </si>
  <si>
    <t>Education and University Costs</t>
  </si>
  <si>
    <t>Other Recurring Expenses</t>
  </si>
  <si>
    <t>8. Income Summary and Confirmation</t>
  </si>
  <si>
    <t>Estimated</t>
  </si>
  <si>
    <t>Applicant 1</t>
  </si>
  <si>
    <t>Applicant 2</t>
  </si>
  <si>
    <t>Actual</t>
  </si>
  <si>
    <t>Net Monthly Income</t>
  </si>
  <si>
    <t>9. Summary and Outcome</t>
  </si>
  <si>
    <t>Shared Ownership Rent</t>
  </si>
  <si>
    <t xml:space="preserve">Affordability Percentage </t>
  </si>
  <si>
    <t>Affordability Outcome</t>
  </si>
  <si>
    <t xml:space="preserve">Income Tax - PAYE </t>
  </si>
  <si>
    <t>From</t>
  </si>
  <si>
    <t>To</t>
  </si>
  <si>
    <t>Rate</t>
  </si>
  <si>
    <t>Tax Free Allowance</t>
  </si>
  <si>
    <t>Standard Rate</t>
  </si>
  <si>
    <t>Higher Rate</t>
  </si>
  <si>
    <t>Additional Rate</t>
  </si>
  <si>
    <t>Income Tax - Dividends</t>
  </si>
  <si>
    <t>National Insurance</t>
  </si>
  <si>
    <t>Income Tax Tables</t>
  </si>
  <si>
    <t>Income</t>
  </si>
  <si>
    <t>% of Gross Basic Salary Used</t>
  </si>
  <si>
    <t>% of Overtime and Bonus Used</t>
  </si>
  <si>
    <t>Minimum Pension Contribution %</t>
  </si>
  <si>
    <t>Pension Used</t>
  </si>
  <si>
    <t>Benefits Used</t>
  </si>
  <si>
    <t>Proportion of Income Types Used</t>
  </si>
  <si>
    <t>Student Loan Parameters</t>
  </si>
  <si>
    <t>Min Income</t>
  </si>
  <si>
    <t>% Income</t>
  </si>
  <si>
    <t>Declared Basic</t>
  </si>
  <si>
    <t xml:space="preserve">% Used </t>
  </si>
  <si>
    <t>Declared OT/Bonus</t>
  </si>
  <si>
    <t>Adjusted</t>
  </si>
  <si>
    <t>Adjusted Income</t>
  </si>
  <si>
    <t xml:space="preserve">Minimum Pension </t>
  </si>
  <si>
    <t>Declared Pension</t>
  </si>
  <si>
    <t>Pension Value</t>
  </si>
  <si>
    <t>Useable Gross</t>
  </si>
  <si>
    <t>% Used 1</t>
  </si>
  <si>
    <t>% Used 2</t>
  </si>
  <si>
    <t>% Used 3</t>
  </si>
  <si>
    <t>Declared 1</t>
  </si>
  <si>
    <t>Declared 2</t>
  </si>
  <si>
    <t>Declared 3</t>
  </si>
  <si>
    <t>Adjusted 1</t>
  </si>
  <si>
    <t>Adjusted 2</t>
  </si>
  <si>
    <t>Adjusted 3</t>
  </si>
  <si>
    <r>
      <t xml:space="preserve">State Pension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</si>
  <si>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Universal Credit - </t>
    </r>
    <r>
      <rPr>
        <b/>
        <sz val="9"/>
        <color theme="1"/>
        <rFont val="Calibri"/>
        <family val="2"/>
        <scheme val="minor"/>
      </rPr>
      <t xml:space="preserve">Net Monthly </t>
    </r>
  </si>
  <si>
    <r>
      <t xml:space="preserve">Disability Related - </t>
    </r>
    <r>
      <rPr>
        <b/>
        <sz val="9"/>
        <color theme="1"/>
        <rFont val="Calibri"/>
        <family val="2"/>
        <scheme val="minor"/>
      </rPr>
      <t xml:space="preserve">Net Monthly </t>
    </r>
  </si>
  <si>
    <t>State Pension</t>
  </si>
  <si>
    <t xml:space="preserve">Universal Credit </t>
  </si>
  <si>
    <t>Disability Related</t>
  </si>
  <si>
    <t>GROSS INCOME TYPES</t>
  </si>
  <si>
    <t>Profit - Latest Y</t>
  </si>
  <si>
    <t>Profit - P Y 1</t>
  </si>
  <si>
    <t xml:space="preserve">Profit - P Y 2 </t>
  </si>
  <si>
    <t>SA302 Val - Latest Y</t>
  </si>
  <si>
    <t>SA302 Val - P Y 1</t>
  </si>
  <si>
    <t>SA302 Val - P Y 2</t>
  </si>
  <si>
    <t>Profit Share 1</t>
  </si>
  <si>
    <t>Profit Share 2</t>
  </si>
  <si>
    <t>Profit Share 3</t>
  </si>
  <si>
    <t>Min Profit Share/SA302 1</t>
  </si>
  <si>
    <t>Min Profit Share/SA302 2</t>
  </si>
  <si>
    <t>Min Profit Share/SA302 3</t>
  </si>
  <si>
    <t>Income From Ltd Companies</t>
  </si>
  <si>
    <t>Salary 1</t>
  </si>
  <si>
    <t>Salary 2</t>
  </si>
  <si>
    <t>Salary 3</t>
  </si>
  <si>
    <t>Dividends - Latest Y</t>
  </si>
  <si>
    <t>Dividends - P Y 1</t>
  </si>
  <si>
    <t xml:space="preserve">Dividends - P Y 2 </t>
  </si>
  <si>
    <t>SA302 - Latest Y</t>
  </si>
  <si>
    <t>SA302 - P Y 1</t>
  </si>
  <si>
    <t xml:space="preserve">SA302 - P Y 2 </t>
  </si>
  <si>
    <t>Min Dividends/SA302 1</t>
  </si>
  <si>
    <t>Min Dividends/SA302 2</t>
  </si>
  <si>
    <t>Min Dividends/SA302 3</t>
  </si>
  <si>
    <t>Taxable Income</t>
  </si>
  <si>
    <t>Total</t>
  </si>
  <si>
    <t>Monthly</t>
  </si>
  <si>
    <t>Weekly</t>
  </si>
  <si>
    <t>Non-Taxable Income</t>
  </si>
  <si>
    <t>Annual</t>
  </si>
  <si>
    <t>Tax Band 1</t>
  </si>
  <si>
    <t>Income from:</t>
  </si>
  <si>
    <t>Income to:</t>
  </si>
  <si>
    <t>Tax rate:</t>
  </si>
  <si>
    <t>Income In Band</t>
  </si>
  <si>
    <t>Tax</t>
  </si>
  <si>
    <t>Tax Band 2</t>
  </si>
  <si>
    <t>Tax Band 3</t>
  </si>
  <si>
    <t>Tax Band 4</t>
  </si>
  <si>
    <t>Total Income</t>
  </si>
  <si>
    <t>Check Income</t>
  </si>
  <si>
    <t>Income Tax - Annual</t>
  </si>
  <si>
    <t>Income Tax - Weekly</t>
  </si>
  <si>
    <t>Income Tax - Monthly</t>
  </si>
  <si>
    <t>Income Tax</t>
  </si>
  <si>
    <t>Applicable Income</t>
  </si>
  <si>
    <t>NI Band 1</t>
  </si>
  <si>
    <t>NI rate:</t>
  </si>
  <si>
    <t>NI Band 2</t>
  </si>
  <si>
    <t>NI:</t>
  </si>
  <si>
    <t>NI Band 3</t>
  </si>
  <si>
    <t>NI - Annual</t>
  </si>
  <si>
    <t>NI - Monthly</t>
  </si>
  <si>
    <t>NI - Weekly</t>
  </si>
  <si>
    <t>Tax Payable</t>
  </si>
  <si>
    <t>NI Payable</t>
  </si>
  <si>
    <t>Total Deductions</t>
  </si>
  <si>
    <t>Taxable Net</t>
  </si>
  <si>
    <t>Total Gross Income</t>
  </si>
  <si>
    <t>Total Net Income</t>
  </si>
  <si>
    <t>State Retirement Age</t>
  </si>
  <si>
    <t>Applicant Age</t>
  </si>
  <si>
    <t>Over State Retirement</t>
  </si>
  <si>
    <t xml:space="preserve">Applicant 2 - Age   </t>
  </si>
  <si>
    <t xml:space="preserve">Applicant 1 - Age   </t>
  </si>
  <si>
    <t>Employed Up to £40,000</t>
  </si>
  <si>
    <t>-</t>
  </si>
  <si>
    <t>+</t>
  </si>
  <si>
    <t>Employed £40,000 to £150,000</t>
  </si>
  <si>
    <t>Employed &gt;£150,000</t>
  </si>
  <si>
    <t>Self Employed Up to £40,000</t>
  </si>
  <si>
    <t>Self Employed £40,000 to £150,000</t>
  </si>
  <si>
    <t>Self Employed &gt;£150,000</t>
  </si>
  <si>
    <t>Income Types</t>
  </si>
  <si>
    <t>From Self Employment Types</t>
  </si>
  <si>
    <t>From Net/Other Types</t>
  </si>
  <si>
    <t>Income Proportions</t>
  </si>
  <si>
    <t>Gross to Net</t>
  </si>
  <si>
    <t>Self Employed Basis</t>
  </si>
  <si>
    <t>Employed Basis</t>
  </si>
  <si>
    <t>Not Dividends</t>
  </si>
  <si>
    <t>Dividends</t>
  </si>
  <si>
    <t>Tax Band 1 - Tax Free Allowance</t>
  </si>
  <si>
    <t>Tax Band 2 - Basic Rate</t>
  </si>
  <si>
    <t>Tax Band 3 - Higher Rate</t>
  </si>
  <si>
    <t>Tax Band 4 - Additional Rate</t>
  </si>
  <si>
    <t>Balance of Tax Free Allowances</t>
  </si>
  <si>
    <t>Basic Rate</t>
  </si>
  <si>
    <t xml:space="preserve">App 1 </t>
  </si>
  <si>
    <t xml:space="preserve">Modelled Expenditure </t>
  </si>
  <si>
    <t>Weekly Reference Pay</t>
  </si>
  <si>
    <t>Affordability Type</t>
  </si>
  <si>
    <t>UK Household</t>
  </si>
  <si>
    <t>Oversees Household</t>
  </si>
  <si>
    <t>Eq 1</t>
  </si>
  <si>
    <t>Eq 2</t>
  </si>
  <si>
    <t>Eq 3</t>
  </si>
  <si>
    <t>Result</t>
  </si>
  <si>
    <t>Modelled Expenditure Equations</t>
  </si>
  <si>
    <t>Standard</t>
  </si>
  <si>
    <t>Standard00</t>
  </si>
  <si>
    <t>Standard10</t>
  </si>
  <si>
    <t xml:space="preserve">Part 1 </t>
  </si>
  <si>
    <t>Part 2</t>
  </si>
  <si>
    <t>Standard01</t>
  </si>
  <si>
    <t>Standard02</t>
  </si>
  <si>
    <t>Standard03</t>
  </si>
  <si>
    <t>Standard11</t>
  </si>
  <si>
    <t>Standard12</t>
  </si>
  <si>
    <t>Standard13</t>
  </si>
  <si>
    <t>Standard20</t>
  </si>
  <si>
    <t>Standard21</t>
  </si>
  <si>
    <t>Standard22</t>
  </si>
  <si>
    <t>Standard23</t>
  </si>
  <si>
    <t>Older00</t>
  </si>
  <si>
    <t>Older01</t>
  </si>
  <si>
    <t>Older02</t>
  </si>
  <si>
    <t>Older03</t>
  </si>
  <si>
    <t>Older10</t>
  </si>
  <si>
    <t>Older11</t>
  </si>
  <si>
    <t>Older12</t>
  </si>
  <si>
    <t>Older13</t>
  </si>
  <si>
    <t>Older20</t>
  </si>
  <si>
    <t>Older21</t>
  </si>
  <si>
    <t>Older22</t>
  </si>
  <si>
    <t>Older23</t>
  </si>
  <si>
    <t>Council Tax Equations</t>
  </si>
  <si>
    <t>Part 1</t>
  </si>
  <si>
    <t>Part 3</t>
  </si>
  <si>
    <t>Part 4</t>
  </si>
  <si>
    <t>Floor</t>
  </si>
  <si>
    <t>Ceiling</t>
  </si>
  <si>
    <t>Raw Modelled Value</t>
  </si>
  <si>
    <t>Council Tax</t>
  </si>
  <si>
    <t>Eq 4</t>
  </si>
  <si>
    <t>Model Floor</t>
  </si>
  <si>
    <t xml:space="preserve">Model Ceiling </t>
  </si>
  <si>
    <t>Adjusted Value</t>
  </si>
  <si>
    <t>Number of Adults</t>
  </si>
  <si>
    <t>Adjustment Factor</t>
  </si>
  <si>
    <t>Single Person Cost</t>
  </si>
  <si>
    <t xml:space="preserve">Empty House Cost </t>
  </si>
  <si>
    <t>HH Details</t>
  </si>
  <si>
    <t>Council Tax Value</t>
  </si>
  <si>
    <t>Later Life Care Costs</t>
  </si>
  <si>
    <t>Travel Costs</t>
  </si>
  <si>
    <t>Standard Floor</t>
  </si>
  <si>
    <t>Older Floor</t>
  </si>
  <si>
    <t>Applicable Floor</t>
  </si>
  <si>
    <t>Declared Value</t>
  </si>
  <si>
    <t>Modelled Expenditure Value</t>
  </si>
  <si>
    <t>Travel Costs Value</t>
  </si>
  <si>
    <t>Expenditure</t>
  </si>
  <si>
    <t>Tax &amp; SS Payable</t>
  </si>
  <si>
    <t>Is Self Employed</t>
  </si>
  <si>
    <t>Income Used</t>
  </si>
  <si>
    <t>Tax and NI Deductions</t>
  </si>
  <si>
    <t>Is Guernsey</t>
  </si>
  <si>
    <t>Annual Gross Taxable Income</t>
  </si>
  <si>
    <t>Net Monthly Income - UK</t>
  </si>
  <si>
    <t>Net Monthly Income - Guernsey</t>
  </si>
  <si>
    <t>Income Estimate from Gross</t>
  </si>
  <si>
    <t>Income Estimate from Net</t>
  </si>
  <si>
    <t>Total Income Estimate</t>
  </si>
  <si>
    <t>Txbl Inc</t>
  </si>
  <si>
    <t>Actual Figure Declared</t>
  </si>
  <si>
    <t>Income Used in Assessment</t>
  </si>
  <si>
    <t xml:space="preserve">Council Tax </t>
  </si>
  <si>
    <t>Credit Commitments</t>
  </si>
  <si>
    <t>Total Expenditure</t>
  </si>
  <si>
    <t>Other Expenditure</t>
  </si>
  <si>
    <t>Is Older Borrower</t>
  </si>
  <si>
    <t>Age - Applicant 1</t>
  </si>
  <si>
    <t>Age - Applicant 2</t>
  </si>
  <si>
    <t xml:space="preserve">Max Age </t>
  </si>
  <si>
    <t>Later Life Equations</t>
  </si>
  <si>
    <t xml:space="preserve">Ceiling </t>
  </si>
  <si>
    <t>Calculated Value</t>
  </si>
  <si>
    <t>Credit Commitments Value</t>
  </si>
  <si>
    <t>LLCC Value</t>
  </si>
  <si>
    <t>Payment</t>
  </si>
  <si>
    <t>Balance</t>
  </si>
  <si>
    <t>Debt Repayment</t>
  </si>
  <si>
    <t>Overdraft APR Used</t>
  </si>
  <si>
    <t>% Rev Used</t>
  </si>
  <si>
    <t>Credit Cards, Revolving</t>
  </si>
  <si>
    <t>% Revolving Balances Used</t>
  </si>
  <si>
    <t>APR Used for Overdrafts</t>
  </si>
  <si>
    <t>Account Type Summary</t>
  </si>
  <si>
    <t xml:space="preserve">Credit Cards, Revolving </t>
  </si>
  <si>
    <t>Threshold</t>
  </si>
  <si>
    <t>Scheme Type</t>
  </si>
  <si>
    <t>Repayment Rate</t>
  </si>
  <si>
    <t xml:space="preserve">Income </t>
  </si>
  <si>
    <t xml:space="preserve">Income Over Threshold </t>
  </si>
  <si>
    <t>Annual Deductions</t>
  </si>
  <si>
    <t>ALMIS POOL</t>
  </si>
  <si>
    <t>Total Advance</t>
  </si>
  <si>
    <t>LTV</t>
  </si>
  <si>
    <t>Stress Rates</t>
  </si>
  <si>
    <t>Is Standard Residential - England, Wales</t>
  </si>
  <si>
    <t>Is Standard Residential - Guernsey</t>
  </si>
  <si>
    <t xml:space="preserve">Is Shared Ownership </t>
  </si>
  <si>
    <t>Is Ex-Pat Residential</t>
  </si>
  <si>
    <t>ALMIS</t>
  </si>
  <si>
    <t>Stress Rate</t>
  </si>
  <si>
    <t>LOAN DETAILS</t>
  </si>
  <si>
    <t>PART</t>
  </si>
  <si>
    <t>AMOUNT</t>
  </si>
  <si>
    <t>TERM</t>
  </si>
  <si>
    <t>RATE</t>
  </si>
  <si>
    <t>I/O</t>
  </si>
  <si>
    <t>C&amp;I</t>
  </si>
  <si>
    <t>M RATE</t>
  </si>
  <si>
    <t/>
  </si>
  <si>
    <t>FINAL</t>
  </si>
  <si>
    <t>TYPE</t>
  </si>
  <si>
    <t>Is Ex Pat</t>
  </si>
  <si>
    <t>Other Expenditure Items</t>
  </si>
  <si>
    <t>Ground Rent &amp; Service Charge</t>
  </si>
  <si>
    <t>University and Education</t>
  </si>
  <si>
    <t xml:space="preserve">Other Recurring Expenditure </t>
  </si>
  <si>
    <t>Adjustments</t>
  </si>
  <si>
    <t xml:space="preserve">Adjusted </t>
  </si>
  <si>
    <t>Other Expenditure Uplifts</t>
  </si>
  <si>
    <t>Other Value</t>
  </si>
  <si>
    <t>Eq 5</t>
  </si>
  <si>
    <t>Eq 6</t>
  </si>
  <si>
    <t>Eq 7</t>
  </si>
  <si>
    <t>y = -4.46530676441405E-15x6 + 9.03420830949042E-12x5 - 8.90882229505636E-09x4 + 5.96701409146086E-06x3 - 2.96314826295898E-03x2 + 1.00270169730412E+00x - 1.63002843220990E-01</t>
  </si>
  <si>
    <t>Multiplier</t>
  </si>
  <si>
    <t>Disp Inc</t>
  </si>
  <si>
    <t>Max</t>
  </si>
  <si>
    <t>Rounded</t>
  </si>
  <si>
    <t>y = -8.08518133620125E-14x6 + 1.14594049648420E-10x5 - 6.62755055949179E-08x4 + 2.16398534262084E-05x3 - 5.22577709112734E-03x2 + 1.14031974960622E+00x - 3.60400265409031E+00</t>
  </si>
  <si>
    <t>y = -2.35172810926173E-15x6 + 6.92836942128177E-12x5 - 8.81505066696982E-09x4 + 6.60329873769852E-06x3 - 3.22045765501053E-03x2 + 9.91255026860802E-01x + 1.30997452222424E-01</t>
  </si>
  <si>
    <t>Sole Trader</t>
  </si>
  <si>
    <t>Partner</t>
  </si>
  <si>
    <t>Total Useable Income 1</t>
  </si>
  <si>
    <t>Total Useable Income 2</t>
  </si>
  <si>
    <t>Total Useable Income 3</t>
  </si>
  <si>
    <r>
      <t xml:space="preserve">Monthly - </t>
    </r>
    <r>
      <rPr>
        <sz val="9"/>
        <color theme="1"/>
        <rFont val="Calibri"/>
        <family val="2"/>
        <scheme val="minor"/>
      </rPr>
      <t>Non Taxable</t>
    </r>
  </si>
  <si>
    <r>
      <t xml:space="preserve">Monthly - </t>
    </r>
    <r>
      <rPr>
        <sz val="9"/>
        <color theme="1"/>
        <rFont val="Calibri"/>
        <family val="2"/>
        <scheme val="minor"/>
      </rPr>
      <t>Taxable</t>
    </r>
    <r>
      <rPr>
        <b/>
        <sz val="9"/>
        <color theme="1"/>
        <rFont val="Calibri"/>
        <family val="2"/>
        <scheme val="minor"/>
      </rPr>
      <t xml:space="preserve"> </t>
    </r>
  </si>
  <si>
    <t>Other Taxable</t>
  </si>
  <si>
    <t>Income from Other Sources</t>
  </si>
  <si>
    <t>Cap</t>
  </si>
  <si>
    <t>Capped</t>
  </si>
  <si>
    <t>Calculator LTI Caps</t>
  </si>
  <si>
    <t>Following tax and other MBS adjustments.</t>
  </si>
  <si>
    <t>Salary</t>
  </si>
  <si>
    <t>Basic</t>
  </si>
  <si>
    <t>Variable (Adjusted)</t>
  </si>
  <si>
    <t>Pensions</t>
  </si>
  <si>
    <t>Type 1</t>
  </si>
  <si>
    <t>Type 2</t>
  </si>
  <si>
    <t>Type 3</t>
  </si>
  <si>
    <t>Benefits</t>
  </si>
  <si>
    <t xml:space="preserve">State Pension  </t>
  </si>
  <si>
    <t xml:space="preserve">Universal Credit  </t>
  </si>
  <si>
    <t xml:space="preserve">Disability Related  </t>
  </si>
  <si>
    <t>Not Taxable</t>
  </si>
  <si>
    <t>Taxable</t>
  </si>
  <si>
    <t>SE Types</t>
  </si>
  <si>
    <t>All</t>
  </si>
  <si>
    <t>Overseas Household (If Applicable)</t>
  </si>
  <si>
    <t>7. Other Expenditure</t>
  </si>
  <si>
    <t>Full Business Profit - Latest Yr</t>
  </si>
  <si>
    <t>Full Business Profit - Previous Yr</t>
  </si>
  <si>
    <t>Full Business Profit - Previous Yr 2</t>
  </si>
  <si>
    <t>SA302 Value - Latest Yr</t>
  </si>
  <si>
    <t>SA302 Value - Previous Yr</t>
  </si>
  <si>
    <t>SA302 Value - Previous Yr 2</t>
  </si>
  <si>
    <t>SA302 Salary - Latest Yr</t>
  </si>
  <si>
    <t>SA302 Salary - Previous Yr</t>
  </si>
  <si>
    <t>SA302 Salary - Previous Yr 2</t>
  </si>
  <si>
    <t>Total Co Dividends - Latest Yr</t>
  </si>
  <si>
    <t>Total Co Dividends - Previous Yr</t>
  </si>
  <si>
    <t>Total Co Dividends - Previous Yr 2</t>
  </si>
  <si>
    <t>SA302 Dividend Value - Latest Yr</t>
  </si>
  <si>
    <t>SA302 Dividend Value - Previous Yr</t>
  </si>
  <si>
    <t>SA302 Dividend Value - Previous Yr 2</t>
  </si>
  <si>
    <t>Loan to Income (LTI) Ratio</t>
  </si>
  <si>
    <t>LTI Outcome</t>
  </si>
  <si>
    <t>Applicable LTI Cap (x Income)</t>
  </si>
  <si>
    <t>Disposable Income</t>
  </si>
  <si>
    <t>for intermediaries</t>
  </si>
  <si>
    <t>FOR INTERMEDIARY PROFESSIONALS ONLY</t>
  </si>
  <si>
    <t>5. Income Details (In GBP)</t>
  </si>
  <si>
    <t>t 01282 440583* e intermediaries@themarsden.co.uk w www.themarsden.co.uk/intermediaries</t>
  </si>
  <si>
    <t>Later Life - Guernsey</t>
  </si>
  <si>
    <t>Ex-Pat Residential £100k+ Income</t>
  </si>
  <si>
    <t>Later Life/RIO - England, Wales</t>
  </si>
  <si>
    <t>£4£ Later Life/RIO - England, Wales</t>
  </si>
  <si>
    <t>Later Life/RIO - Guernsey</t>
  </si>
  <si>
    <t>Is Later Life / RIO - England, Wales</t>
  </si>
  <si>
    <t>Is Later Life / RIO - Guernsey</t>
  </si>
  <si>
    <t>FGN NAT Resi T2 Skilled Worker</t>
  </si>
  <si>
    <t>Is FGN NAT Resi T2</t>
  </si>
  <si>
    <t>Version 16</t>
  </si>
  <si>
    <t>Authorised by the Prudential Regulation Authority and regulated by the Financial Conduct Authority and the Prudential Regulation Authority. Registered in the Financial Services Register under no: 206050. Marsden Building Society is a member of the Building Societies Association, the Financial Services Compensation Scheme and the Financial Ombudsman Service. Principal Office, 6-20 Russell Street, Nelson, Lancashire BB9 7NJ. *Calls will be recorded and may be monitored. FP195522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</si>
</sst>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164" formatCode="&quot;£&quot;#,##0.00"/>
    <numFmt numFmtId="165" formatCode="&quot;£&quot;#,##0"/>
    <numFmt numFmtId="166" formatCode="0.0%"/>
    <numFmt numFmtId="167" formatCode="0.0000%"/>
    <numFmt numFmtId="168" formatCode="0.00000"/>
    <numFmt numFmtId="169" formatCode="0.0000000"/>
    <numFmt numFmtId="170" formatCode="0.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0.5"/>
      <color theme="1"/>
      <name val="Calibri"/>
      <family val="2"/>
      <scheme val="minor"/>
    </font>
    <font>
      <sz val="11"/>
      <color theme="1"/>
      <name val="Biome"/>
      <family val="2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6007E"/>
        <bgColor indexed="64"/>
      </patternFill>
    </fill>
    <fill>
      <patternFill patternType="lightGrid">
        <bgColor theme="0" tint="-4.9989318521683403E-2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/>
    <xf numFmtId="0" fontId="1" fillId="2" borderId="0" xfId="0" applyFont="1" applyFill="1"/>
    <xf numFmtId="0" fontId="13" fillId="2" borderId="0" xfId="0" applyFont="1" applyFill="1"/>
    <xf numFmtId="0" fontId="14" fillId="2" borderId="0" xfId="0" applyFont="1" applyFill="1"/>
    <xf numFmtId="10" fontId="13" fillId="5" borderId="1" xfId="0" applyNumberFormat="1" applyFont="1" applyFill="1" applyBorder="1" applyAlignment="1">
      <alignment horizontal="center"/>
    </xf>
    <xf numFmtId="165" fontId="15" fillId="5" borderId="1" xfId="0" applyNumberFormat="1" applyFont="1" applyFill="1" applyBorder="1"/>
    <xf numFmtId="10" fontId="13" fillId="5" borderId="1" xfId="0" applyNumberFormat="1" applyFont="1" applyFill="1" applyBorder="1"/>
    <xf numFmtId="6" fontId="15" fillId="5" borderId="1" xfId="0" applyNumberFormat="1" applyFont="1" applyFill="1" applyBorder="1"/>
    <xf numFmtId="10" fontId="15" fillId="5" borderId="1" xfId="0" applyNumberFormat="1" applyFont="1" applyFill="1" applyBorder="1"/>
    <xf numFmtId="0" fontId="13" fillId="2" borderId="0" xfId="0" applyFont="1" applyFill="1" applyBorder="1"/>
    <xf numFmtId="0" fontId="13" fillId="5" borderId="1" xfId="0" applyFont="1" applyFill="1" applyBorder="1"/>
    <xf numFmtId="9" fontId="13" fillId="5" borderId="1" xfId="0" applyNumberFormat="1" applyFont="1" applyFill="1" applyBorder="1"/>
    <xf numFmtId="0" fontId="16" fillId="2" borderId="0" xfId="0" applyFont="1" applyFill="1"/>
    <xf numFmtId="0" fontId="17" fillId="2" borderId="0" xfId="0" applyFont="1" applyFill="1"/>
    <xf numFmtId="167" fontId="13" fillId="2" borderId="0" xfId="0" applyNumberFormat="1" applyFont="1" applyFill="1"/>
    <xf numFmtId="0" fontId="1" fillId="2" borderId="1" xfId="0" applyFont="1" applyFill="1" applyBorder="1"/>
    <xf numFmtId="0" fontId="0" fillId="2" borderId="0" xfId="0" applyFill="1" applyAlignment="1">
      <alignment horizontal="center"/>
    </xf>
    <xf numFmtId="10" fontId="0" fillId="2" borderId="1" xfId="0" applyNumberFormat="1" applyFill="1" applyBorder="1"/>
    <xf numFmtId="0" fontId="6" fillId="2" borderId="0" xfId="0" applyFont="1" applyFill="1"/>
    <xf numFmtId="0" fontId="7" fillId="2" borderId="1" xfId="0" applyFont="1" applyFill="1" applyBorder="1"/>
    <xf numFmtId="0" fontId="7" fillId="2" borderId="0" xfId="0" applyFont="1" applyFill="1"/>
    <xf numFmtId="0" fontId="10" fillId="2" borderId="0" xfId="0" applyFont="1" applyFill="1"/>
    <xf numFmtId="0" fontId="10" fillId="2" borderId="1" xfId="0" applyFont="1" applyFill="1" applyBorder="1"/>
    <xf numFmtId="0" fontId="8" fillId="2" borderId="0" xfId="0" applyFont="1" applyFill="1"/>
    <xf numFmtId="10" fontId="18" fillId="2" borderId="1" xfId="0" applyNumberFormat="1" applyFont="1" applyFill="1" applyBorder="1"/>
    <xf numFmtId="10" fontId="8" fillId="2" borderId="1" xfId="0" applyNumberFormat="1" applyFont="1" applyFill="1" applyBorder="1"/>
    <xf numFmtId="0" fontId="8" fillId="2" borderId="1" xfId="0" applyFont="1" applyFill="1" applyBorder="1"/>
    <xf numFmtId="0" fontId="0" fillId="2" borderId="1" xfId="0" applyFont="1" applyFill="1" applyBorder="1"/>
    <xf numFmtId="0" fontId="3" fillId="2" borderId="0" xfId="0" applyFont="1" applyFill="1"/>
    <xf numFmtId="9" fontId="8" fillId="2" borderId="1" xfId="0" applyNumberFormat="1" applyFont="1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1" fontId="0" fillId="2" borderId="0" xfId="0" applyNumberFormat="1" applyFill="1"/>
    <xf numFmtId="1" fontId="6" fillId="2" borderId="1" xfId="0" applyNumberFormat="1" applyFont="1" applyFill="1" applyBorder="1"/>
    <xf numFmtId="1" fontId="1" fillId="2" borderId="1" xfId="0" applyNumberFormat="1" applyFont="1" applyFill="1" applyBorder="1"/>
    <xf numFmtId="0" fontId="5" fillId="2" borderId="0" xfId="0" applyFont="1" applyFill="1"/>
    <xf numFmtId="1" fontId="3" fillId="2" borderId="1" xfId="0" applyNumberFormat="1" applyFont="1" applyFill="1" applyBorder="1"/>
    <xf numFmtId="1" fontId="7" fillId="2" borderId="1" xfId="0" applyNumberFormat="1" applyFont="1" applyFill="1" applyBorder="1"/>
    <xf numFmtId="0" fontId="19" fillId="2" borderId="0" xfId="0" applyFont="1" applyFill="1"/>
    <xf numFmtId="0" fontId="1" fillId="2" borderId="0" xfId="0" applyFont="1" applyFill="1" applyAlignment="1"/>
    <xf numFmtId="1" fontId="0" fillId="2" borderId="1" xfId="0" applyNumberFormat="1" applyFill="1" applyBorder="1" applyAlignment="1"/>
    <xf numFmtId="0" fontId="0" fillId="2" borderId="1" xfId="0" applyFill="1" applyBorder="1" applyAlignment="1"/>
    <xf numFmtId="6" fontId="0" fillId="2" borderId="1" xfId="0" applyNumberFormat="1" applyFill="1" applyBorder="1" applyAlignment="1"/>
    <xf numFmtId="1" fontId="0" fillId="2" borderId="0" xfId="0" applyNumberFormat="1" applyFill="1" applyBorder="1"/>
    <xf numFmtId="0" fontId="6" fillId="5" borderId="1" xfId="0" applyFont="1" applyFill="1" applyBorder="1"/>
    <xf numFmtId="0" fontId="6" fillId="5" borderId="0" xfId="0" applyFont="1" applyFill="1"/>
    <xf numFmtId="0" fontId="0" fillId="5" borderId="0" xfId="0" applyFill="1"/>
    <xf numFmtId="1" fontId="6" fillId="5" borderId="1" xfId="0" applyNumberFormat="1" applyFont="1" applyFill="1" applyBorder="1"/>
    <xf numFmtId="1" fontId="6" fillId="5" borderId="0" xfId="0" applyNumberFormat="1" applyFont="1" applyFill="1"/>
    <xf numFmtId="2" fontId="13" fillId="5" borderId="1" xfId="0" applyNumberFormat="1" applyFont="1" applyFill="1" applyBorder="1"/>
    <xf numFmtId="170" fontId="13" fillId="5" borderId="1" xfId="0" applyNumberFormat="1" applyFont="1" applyFill="1" applyBorder="1"/>
    <xf numFmtId="168" fontId="0" fillId="2" borderId="1" xfId="0" applyNumberFormat="1" applyFill="1" applyBorder="1"/>
    <xf numFmtId="164" fontId="0" fillId="0" borderId="0" xfId="0" applyNumberFormat="1" applyFont="1" applyFill="1" applyBorder="1"/>
    <xf numFmtId="169" fontId="0" fillId="2" borderId="1" xfId="0" applyNumberFormat="1" applyFill="1" applyBorder="1"/>
    <xf numFmtId="9" fontId="0" fillId="2" borderId="1" xfId="0" applyNumberFormat="1" applyFill="1" applyBorder="1"/>
    <xf numFmtId="6" fontId="13" fillId="5" borderId="1" xfId="0" applyNumberFormat="1" applyFont="1" applyFill="1" applyBorder="1"/>
    <xf numFmtId="1" fontId="3" fillId="2" borderId="1" xfId="0" applyNumberFormat="1" applyFont="1" applyFill="1" applyBorder="1" applyAlignment="1"/>
    <xf numFmtId="0" fontId="12" fillId="2" borderId="0" xfId="0" applyFont="1" applyFill="1"/>
    <xf numFmtId="0" fontId="19" fillId="2" borderId="1" xfId="0" applyFont="1" applyFill="1" applyBorder="1"/>
    <xf numFmtId="0" fontId="0" fillId="2" borderId="0" xfId="0" applyFill="1" applyAlignment="1">
      <alignment horizontal="left"/>
    </xf>
    <xf numFmtId="1" fontId="0" fillId="2" borderId="1" xfId="0" applyNumberFormat="1" applyFont="1" applyFill="1" applyBorder="1"/>
    <xf numFmtId="0" fontId="0" fillId="2" borderId="25" xfId="0" applyFill="1" applyBorder="1" applyProtection="1"/>
    <xf numFmtId="0" fontId="0" fillId="2" borderId="26" xfId="0" applyFill="1" applyBorder="1" applyProtection="1"/>
    <xf numFmtId="0" fontId="0" fillId="2" borderId="27" xfId="0" applyFill="1" applyBorder="1" applyProtection="1"/>
    <xf numFmtId="0" fontId="0" fillId="2" borderId="0" xfId="0" applyFill="1" applyProtection="1"/>
    <xf numFmtId="0" fontId="0" fillId="2" borderId="28" xfId="0" applyFill="1" applyBorder="1" applyProtection="1"/>
    <xf numFmtId="0" fontId="1" fillId="2" borderId="0" xfId="0" applyFont="1" applyFill="1" applyBorder="1" applyProtection="1"/>
    <xf numFmtId="0" fontId="0" fillId="2" borderId="29" xfId="0" applyFill="1" applyBorder="1" applyProtection="1"/>
    <xf numFmtId="0" fontId="2" fillId="2" borderId="0" xfId="0" applyFont="1" applyFill="1" applyBorder="1" applyProtection="1"/>
    <xf numFmtId="0" fontId="0" fillId="2" borderId="0" xfId="0" applyFill="1" applyBorder="1" applyProtection="1"/>
    <xf numFmtId="0" fontId="9" fillId="2" borderId="0" xfId="0" applyFont="1" applyFill="1" applyBorder="1" applyProtection="1"/>
    <xf numFmtId="0" fontId="11" fillId="2" borderId="0" xfId="0" applyFont="1" applyFill="1" applyBorder="1" applyProtection="1"/>
    <xf numFmtId="0" fontId="0" fillId="2" borderId="30" xfId="0" applyFill="1" applyBorder="1" applyProtection="1"/>
    <xf numFmtId="0" fontId="0" fillId="2" borderId="31" xfId="0" applyFill="1" applyBorder="1" applyProtection="1"/>
    <xf numFmtId="0" fontId="0" fillId="2" borderId="32" xfId="0" applyFill="1" applyBorder="1" applyProtection="1"/>
    <xf numFmtId="0" fontId="9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7" fillId="2" borderId="5" xfId="0" applyFont="1" applyFill="1" applyBorder="1"/>
    <xf numFmtId="0" fontId="7" fillId="2" borderId="6" xfId="0" applyFont="1" applyFill="1" applyBorder="1"/>
    <xf numFmtId="0" fontId="1" fillId="2" borderId="6" xfId="0" applyFont="1" applyFill="1" applyBorder="1"/>
    <xf numFmtId="1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" fillId="2" borderId="5" xfId="0" applyFont="1" applyFill="1" applyBorder="1"/>
    <xf numFmtId="1" fontId="3" fillId="2" borderId="6" xfId="0" applyNumberFormat="1" applyFont="1" applyFill="1" applyBorder="1"/>
    <xf numFmtId="0" fontId="3" fillId="2" borderId="6" xfId="0" applyFont="1" applyFill="1" applyBorder="1" applyAlignment="1"/>
    <xf numFmtId="0" fontId="3" fillId="2" borderId="5" xfId="0" applyFont="1" applyFill="1" applyBorder="1" applyAlignment="1"/>
    <xf numFmtId="0" fontId="3" fillId="2" borderId="6" xfId="0" applyFont="1" applyFill="1" applyBorder="1"/>
    <xf numFmtId="0" fontId="3" fillId="3" borderId="0" xfId="0" applyFont="1" applyFill="1" applyBorder="1"/>
    <xf numFmtId="0" fontId="7" fillId="3" borderId="0" xfId="0" applyFont="1" applyFill="1" applyBorder="1"/>
    <xf numFmtId="0" fontId="3" fillId="4" borderId="0" xfId="0" applyFont="1" applyFill="1" applyBorder="1"/>
    <xf numFmtId="0" fontId="7" fillId="4" borderId="0" xfId="0" applyFont="1" applyFill="1" applyBorder="1"/>
    <xf numFmtId="0" fontId="3" fillId="4" borderId="0" xfId="0" applyFont="1" applyFill="1" applyBorder="1" applyAlignment="1"/>
    <xf numFmtId="0" fontId="3" fillId="3" borderId="0" xfId="0" applyFont="1" applyFill="1" applyBorder="1" applyAlignment="1"/>
    <xf numFmtId="0" fontId="13" fillId="2" borderId="0" xfId="0" applyFont="1" applyFill="1" applyAlignment="1"/>
    <xf numFmtId="2" fontId="0" fillId="2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left"/>
    </xf>
    <xf numFmtId="0" fontId="0" fillId="2" borderId="0" xfId="0" quotePrefix="1" applyFill="1"/>
    <xf numFmtId="2" fontId="0" fillId="2" borderId="1" xfId="0" applyNumberFormat="1" applyFill="1" applyBorder="1"/>
    <xf numFmtId="165" fontId="0" fillId="2" borderId="1" xfId="0" applyNumberFormat="1" applyFill="1" applyBorder="1"/>
    <xf numFmtId="165" fontId="0" fillId="2" borderId="0" xfId="0" applyNumberFormat="1" applyFill="1"/>
    <xf numFmtId="165" fontId="1" fillId="2" borderId="0" xfId="0" applyNumberFormat="1" applyFont="1" applyFill="1"/>
    <xf numFmtId="0" fontId="21" fillId="5" borderId="1" xfId="0" applyFont="1" applyFill="1" applyBorder="1"/>
    <xf numFmtId="0" fontId="0" fillId="5" borderId="1" xfId="0" applyFill="1" applyBorder="1"/>
    <xf numFmtId="0" fontId="20" fillId="5" borderId="1" xfId="0" applyFont="1" applyFill="1" applyBorder="1"/>
    <xf numFmtId="11" fontId="0" fillId="2" borderId="1" xfId="0" applyNumberFormat="1" applyFill="1" applyBorder="1"/>
    <xf numFmtId="10" fontId="1" fillId="2" borderId="1" xfId="0" applyNumberFormat="1" applyFont="1" applyFill="1" applyBorder="1"/>
    <xf numFmtId="10" fontId="1" fillId="2" borderId="0" xfId="0" applyNumberFormat="1" applyFont="1" applyFill="1"/>
    <xf numFmtId="0" fontId="1" fillId="2" borderId="0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0" fillId="2" borderId="0" xfId="0" applyFont="1" applyFill="1" applyBorder="1"/>
    <xf numFmtId="0" fontId="8" fillId="2" borderId="0" xfId="0" applyFont="1" applyFill="1" applyAlignment="1"/>
    <xf numFmtId="0" fontId="8" fillId="2" borderId="1" xfId="0" applyFont="1" applyFill="1" applyBorder="1" applyAlignment="1"/>
    <xf numFmtId="0" fontId="0" fillId="0" borderId="0" xfId="0" applyAlignment="1"/>
    <xf numFmtId="0" fontId="22" fillId="2" borderId="0" xfId="0" applyFont="1" applyFill="1" applyBorder="1" applyProtection="1"/>
    <xf numFmtId="0" fontId="23" fillId="0" borderId="0" xfId="0" applyFont="1"/>
    <xf numFmtId="0" fontId="23" fillId="2" borderId="0" xfId="0" applyFont="1" applyFill="1" applyBorder="1" applyProtection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left"/>
    </xf>
    <xf numFmtId="0" fontId="0" fillId="6" borderId="0" xfId="0" applyFill="1" applyProtection="1"/>
    <xf numFmtId="0" fontId="27" fillId="6" borderId="0" xfId="0" applyFont="1" applyFill="1" applyAlignment="1" applyProtection="1">
      <alignment vertical="center"/>
    </xf>
    <xf numFmtId="0" fontId="27" fillId="6" borderId="31" xfId="0" applyFont="1" applyFill="1" applyBorder="1" applyAlignment="1" applyProtection="1">
      <alignment vertical="center"/>
    </xf>
    <xf numFmtId="0" fontId="24" fillId="7" borderId="28" xfId="0" applyFont="1" applyFill="1" applyBorder="1" applyProtection="1"/>
    <xf numFmtId="0" fontId="24" fillId="7" borderId="29" xfId="0" applyFont="1" applyFill="1" applyBorder="1" applyProtection="1"/>
    <xf numFmtId="0" fontId="24" fillId="7" borderId="30" xfId="0" applyFont="1" applyFill="1" applyBorder="1" applyProtection="1"/>
    <xf numFmtId="0" fontId="24" fillId="7" borderId="32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1" fillId="2" borderId="28" xfId="0" applyFont="1" applyFill="1" applyBorder="1" applyProtection="1"/>
    <xf numFmtId="0" fontId="0" fillId="6" borderId="6" xfId="0" applyFill="1" applyBorder="1" applyProtection="1"/>
    <xf numFmtId="0" fontId="0" fillId="6" borderId="52" xfId="0" applyFill="1" applyBorder="1" applyProtection="1"/>
    <xf numFmtId="0" fontId="24" fillId="7" borderId="23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0" fontId="24" fillId="7" borderId="1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0" fontId="24" fillId="7" borderId="24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0" fontId="24" fillId="7" borderId="33" xfId="0" applyFont="1" applyFill="1" applyBorder="1" applyAlignment="1" applyProtection="1">
      <alignment horizontal="center" vertical="center"/>
      <protection locked="0"/>
    </xf>
    <xf numFmtId="0" fontId="24" fillId="7" borderId="34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</xf>
    <xf numFmtId="1" fontId="0" fillId="2" borderId="1" xfId="0" applyNumberFormat="1" applyFill="1" applyBorder="1" applyAlignment="1">
      <alignment wrapText="1"/>
    </xf>
    <xf numFmtId="0" fontId="0" fillId="2" borderId="31" xfId="0" applyFill="1" applyBorder="1" applyAlignment="1" applyProtection="1">
      <alignment horizontal="center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8" xfId="0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29" xfId="0" applyFont="1" applyFill="1" applyBorder="1" applyAlignment="1" applyProtection="1">
      <alignment horizontal="left"/>
    </xf>
    <xf numFmtId="0" fontId="1" fillId="2" borderId="36" xfId="0" applyFont="1" applyFill="1" applyBorder="1" applyAlignment="1" applyProtection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</xf>
    <xf numFmtId="1" fontId="8" fillId="4" borderId="48" xfId="0" applyNumberFormat="1" applyFont="1" applyFill="1" applyBorder="1" applyAlignment="1" applyProtection="1">
      <alignment horizontal="center" vertical="center"/>
      <protection locked="0"/>
    </xf>
    <xf numFmtId="1" fontId="8" fillId="4" borderId="49" xfId="0" applyNumberFormat="1" applyFont="1" applyFill="1" applyBorder="1" applyAlignment="1" applyProtection="1">
      <alignment horizontal="center" vertical="center"/>
      <protection locked="0"/>
    </xf>
    <xf numFmtId="166" fontId="1" fillId="2" borderId="36" xfId="0" applyNumberFormat="1" applyFont="1" applyFill="1" applyBorder="1" applyAlignment="1" applyProtection="1">
      <alignment horizontal="center" vertical="center"/>
    </xf>
    <xf numFmtId="166" fontId="1" fillId="2" borderId="38" xfId="0" applyNumberFormat="1" applyFont="1" applyFill="1" applyBorder="1" applyAlignment="1" applyProtection="1">
      <alignment horizontal="center" vertical="center"/>
    </xf>
    <xf numFmtId="0" fontId="29" fillId="7" borderId="15" xfId="0" applyFont="1" applyFill="1" applyBorder="1" applyAlignment="1" applyProtection="1">
      <alignment horizontal="center" vertical="center"/>
      <protection locked="0"/>
    </xf>
    <xf numFmtId="0" fontId="29" fillId="7" borderId="17" xfId="0" applyFont="1" applyFill="1" applyBorder="1" applyAlignment="1" applyProtection="1">
      <alignment horizontal="center" vertical="center"/>
      <protection locked="0"/>
    </xf>
    <xf numFmtId="0" fontId="29" fillId="7" borderId="2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8" borderId="37" xfId="0" applyFill="1" applyBorder="1" applyAlignment="1" applyProtection="1">
      <alignment horizontal="center" vertical="center"/>
    </xf>
    <xf numFmtId="0" fontId="0" fillId="8" borderId="38" xfId="0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left"/>
    </xf>
    <xf numFmtId="9" fontId="1" fillId="4" borderId="12" xfId="0" applyNumberFormat="1" applyFont="1" applyFill="1" applyBorder="1" applyAlignment="1" applyProtection="1">
      <alignment horizontal="center" vertical="center"/>
      <protection locked="0"/>
    </xf>
    <xf numFmtId="9" fontId="1" fillId="4" borderId="14" xfId="0" applyNumberFormat="1" applyFont="1" applyFill="1" applyBorder="1" applyAlignment="1" applyProtection="1">
      <alignment horizontal="center" vertical="center"/>
      <protection locked="0"/>
    </xf>
    <xf numFmtId="165" fontId="0" fillId="4" borderId="36" xfId="0" applyNumberFormat="1" applyFill="1" applyBorder="1" applyAlignment="1" applyProtection="1">
      <alignment horizontal="center" vertical="center"/>
    </xf>
    <xf numFmtId="165" fontId="0" fillId="4" borderId="38" xfId="0" applyNumberFormat="1" applyFill="1" applyBorder="1" applyAlignment="1" applyProtection="1">
      <alignment horizontal="center" vertical="center"/>
    </xf>
    <xf numFmtId="165" fontId="0" fillId="4" borderId="36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left"/>
    </xf>
    <xf numFmtId="0" fontId="0" fillId="4" borderId="46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47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1" fontId="0" fillId="4" borderId="15" xfId="0" applyNumberFormat="1" applyFont="1" applyFill="1" applyBorder="1" applyAlignment="1" applyProtection="1">
      <alignment horizontal="center" vertical="center"/>
      <protection locked="0"/>
    </xf>
    <xf numFmtId="1" fontId="0" fillId="4" borderId="16" xfId="0" applyNumberFormat="1" applyFont="1" applyFill="1" applyBorder="1" applyAlignment="1" applyProtection="1">
      <alignment horizontal="center" vertical="center"/>
      <protection locked="0"/>
    </xf>
    <xf numFmtId="1" fontId="0" fillId="4" borderId="17" xfId="0" applyNumberFormat="1" applyFont="1" applyFill="1" applyBorder="1" applyAlignment="1" applyProtection="1">
      <alignment horizontal="center" vertical="center"/>
      <protection locked="0"/>
    </xf>
    <xf numFmtId="1" fontId="0" fillId="4" borderId="40" xfId="0" applyNumberFormat="1" applyFont="1" applyFill="1" applyBorder="1" applyAlignment="1" applyProtection="1">
      <alignment horizontal="center" vertical="center"/>
      <protection locked="0"/>
    </xf>
    <xf numFmtId="1" fontId="0" fillId="4" borderId="41" xfId="0" applyNumberFormat="1" applyFont="1" applyFill="1" applyBorder="1" applyAlignment="1" applyProtection="1">
      <alignment horizontal="center" vertical="center"/>
      <protection locked="0"/>
    </xf>
    <xf numFmtId="1" fontId="0" fillId="4" borderId="42" xfId="0" applyNumberFormat="1" applyFont="1" applyFill="1" applyBorder="1" applyAlignment="1" applyProtection="1">
      <alignment horizontal="center" vertical="center"/>
      <protection locked="0"/>
    </xf>
    <xf numFmtId="0" fontId="24" fillId="7" borderId="44" xfId="0" applyFont="1" applyFill="1" applyBorder="1" applyAlignment="1" applyProtection="1">
      <alignment horizontal="center" vertical="center"/>
      <protection locked="0"/>
    </xf>
    <xf numFmtId="0" fontId="24" fillId="7" borderId="45" xfId="0" applyFont="1" applyFill="1" applyBorder="1" applyAlignment="1" applyProtection="1">
      <alignment horizontal="center" vertical="center"/>
      <protection locked="0"/>
    </xf>
    <xf numFmtId="0" fontId="24" fillId="7" borderId="43" xfId="0" applyFont="1" applyFill="1" applyBorder="1" applyAlignment="1" applyProtection="1">
      <alignment horizontal="center" vertical="center"/>
      <protection locked="0"/>
    </xf>
    <xf numFmtId="9" fontId="0" fillId="4" borderId="36" xfId="0" applyNumberFormat="1" applyFill="1" applyBorder="1" applyAlignment="1" applyProtection="1">
      <alignment horizontal="center" vertical="center"/>
      <protection locked="0"/>
    </xf>
    <xf numFmtId="9" fontId="0" fillId="4" borderId="37" xfId="0" applyNumberFormat="1" applyFill="1" applyBorder="1" applyAlignment="1" applyProtection="1">
      <alignment horizontal="center" vertical="center"/>
      <protection locked="0"/>
    </xf>
    <xf numFmtId="9" fontId="0" fillId="4" borderId="38" xfId="0" applyNumberFormat="1" applyFill="1" applyBorder="1" applyAlignment="1" applyProtection="1">
      <alignment horizontal="center" vertical="center"/>
      <protection locked="0"/>
    </xf>
    <xf numFmtId="0" fontId="24" fillId="7" borderId="15" xfId="0" applyFont="1" applyFill="1" applyBorder="1" applyAlignment="1" applyProtection="1">
      <alignment horizontal="center" vertical="center"/>
      <protection locked="0"/>
    </xf>
    <xf numFmtId="0" fontId="24" fillId="7" borderId="16" xfId="0" applyFont="1" applyFill="1" applyBorder="1" applyAlignment="1" applyProtection="1">
      <alignment horizontal="center" vertical="center"/>
      <protection locked="0"/>
    </xf>
    <xf numFmtId="0" fontId="24" fillId="7" borderId="17" xfId="0" applyFont="1" applyFill="1" applyBorder="1" applyAlignment="1" applyProtection="1">
      <alignment horizontal="center" vertical="center"/>
      <protection locked="0"/>
    </xf>
    <xf numFmtId="0" fontId="24" fillId="7" borderId="20" xfId="0" applyFont="1" applyFill="1" applyBorder="1" applyAlignment="1" applyProtection="1">
      <alignment horizontal="center" vertical="center"/>
      <protection locked="0"/>
    </xf>
    <xf numFmtId="0" fontId="24" fillId="7" borderId="21" xfId="0" applyFont="1" applyFill="1" applyBorder="1" applyAlignment="1" applyProtection="1">
      <alignment horizontal="center" vertical="center"/>
      <protection locked="0"/>
    </xf>
    <xf numFmtId="0" fontId="24" fillId="7" borderId="22" xfId="0" applyFont="1" applyFill="1" applyBorder="1" applyAlignment="1" applyProtection="1">
      <alignment horizontal="center" vertical="center"/>
      <protection locked="0"/>
    </xf>
    <xf numFmtId="1" fontId="8" fillId="4" borderId="15" xfId="0" applyNumberFormat="1" applyFont="1" applyFill="1" applyBorder="1" applyAlignment="1" applyProtection="1">
      <alignment horizontal="center" vertical="center"/>
      <protection locked="0"/>
    </xf>
    <xf numFmtId="1" fontId="8" fillId="4" borderId="17" xfId="0" applyNumberFormat="1" applyFont="1" applyFill="1" applyBorder="1" applyAlignment="1" applyProtection="1">
      <alignment horizontal="center" vertical="center"/>
      <protection locked="0"/>
    </xf>
    <xf numFmtId="1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8" fillId="4" borderId="20" xfId="0" applyNumberFormat="1" applyFont="1" applyFill="1" applyBorder="1" applyAlignment="1" applyProtection="1">
      <alignment horizontal="center" vertical="center"/>
      <protection locked="0"/>
    </xf>
    <xf numFmtId="1" fontId="8" fillId="4" borderId="22" xfId="0" applyNumberFormat="1" applyFont="1" applyFill="1" applyBorder="1" applyAlignment="1" applyProtection="1">
      <alignment horizontal="center" vertical="center"/>
      <protection locked="0"/>
    </xf>
    <xf numFmtId="1" fontId="8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0" fontId="8" fillId="4" borderId="38" xfId="0" applyFont="1" applyFill="1" applyBorder="1" applyAlignment="1" applyProtection="1">
      <alignment horizontal="center" vertical="center"/>
      <protection locked="0"/>
    </xf>
    <xf numFmtId="0" fontId="8" fillId="4" borderId="39" xfId="0" applyFont="1" applyFill="1" applyBorder="1" applyAlignment="1" applyProtection="1">
      <alignment horizontal="center" vertical="center"/>
      <protection locked="0"/>
    </xf>
    <xf numFmtId="0" fontId="26" fillId="7" borderId="25" xfId="0" applyFont="1" applyFill="1" applyBorder="1" applyAlignment="1" applyProtection="1">
      <alignment horizontal="center"/>
    </xf>
    <xf numFmtId="0" fontId="26" fillId="7" borderId="26" xfId="0" applyFont="1" applyFill="1" applyBorder="1" applyAlignment="1" applyProtection="1">
      <alignment horizontal="center"/>
    </xf>
    <xf numFmtId="0" fontId="26" fillId="7" borderId="27" xfId="0" applyFont="1" applyFill="1" applyBorder="1" applyAlignment="1" applyProtection="1">
      <alignment horizontal="center"/>
    </xf>
    <xf numFmtId="0" fontId="26" fillId="7" borderId="28" xfId="0" applyFont="1" applyFill="1" applyBorder="1" applyAlignment="1" applyProtection="1">
      <alignment horizontal="center"/>
    </xf>
    <xf numFmtId="0" fontId="26" fillId="7" borderId="0" xfId="0" applyFont="1" applyFill="1" applyBorder="1" applyAlignment="1" applyProtection="1">
      <alignment horizontal="center"/>
    </xf>
    <xf numFmtId="0" fontId="26" fillId="7" borderId="29" xfId="0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 vertical="top"/>
    </xf>
    <xf numFmtId="0" fontId="24" fillId="7" borderId="31" xfId="0" applyFont="1" applyFill="1" applyBorder="1" applyAlignment="1" applyProtection="1">
      <alignment horizontal="center" vertical="top"/>
    </xf>
    <xf numFmtId="0" fontId="0" fillId="2" borderId="0" xfId="0" applyFont="1" applyFill="1" applyBorder="1" applyAlignment="1" applyProtection="1">
      <alignment horizontal="right"/>
    </xf>
    <xf numFmtId="0" fontId="0" fillId="2" borderId="29" xfId="0" applyFont="1" applyFill="1" applyBorder="1" applyAlignment="1" applyProtection="1">
      <alignment horizontal="right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4" borderId="17" xfId="0" applyFont="1" applyFill="1" applyBorder="1" applyAlignment="1" applyProtection="1">
      <alignment horizontal="center" vertical="center"/>
      <protection locked="0"/>
    </xf>
    <xf numFmtId="0" fontId="28" fillId="7" borderId="12" xfId="0" applyFont="1" applyFill="1" applyBorder="1" applyAlignment="1" applyProtection="1">
      <alignment horizontal="center" vertical="center"/>
      <protection locked="0"/>
    </xf>
    <xf numFmtId="0" fontId="28" fillId="7" borderId="13" xfId="0" applyFont="1" applyFill="1" applyBorder="1" applyAlignment="1" applyProtection="1">
      <alignment horizontal="center" vertical="center"/>
      <protection locked="0"/>
    </xf>
    <xf numFmtId="0" fontId="28" fillId="7" borderId="39" xfId="0" applyFont="1" applyFill="1" applyBorder="1" applyAlignment="1" applyProtection="1">
      <alignment horizontal="center" vertical="center"/>
      <protection locked="0"/>
    </xf>
    <xf numFmtId="0" fontId="0" fillId="4" borderId="20" xfId="0" applyFont="1" applyFill="1" applyBorder="1" applyAlignment="1" applyProtection="1">
      <alignment horizontal="center" vertical="center"/>
      <protection locked="0"/>
    </xf>
    <xf numFmtId="0" fontId="0" fillId="4" borderId="22" xfId="0" applyFont="1" applyFill="1" applyBorder="1" applyAlignment="1" applyProtection="1">
      <alignment horizontal="center" vertical="center"/>
      <protection locked="0"/>
    </xf>
    <xf numFmtId="0" fontId="0" fillId="4" borderId="24" xfId="0" applyFont="1" applyFill="1" applyBorder="1" applyAlignment="1" applyProtection="1">
      <alignment horizontal="center" vertical="center"/>
      <protection locked="0"/>
    </xf>
    <xf numFmtId="0" fontId="0" fillId="4" borderId="23" xfId="0" applyFont="1" applyFill="1" applyBorder="1" applyAlignment="1" applyProtection="1">
      <alignment horizontal="center" vertical="center"/>
      <protection locked="0"/>
    </xf>
    <xf numFmtId="0" fontId="28" fillId="7" borderId="14" xfId="0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165" fontId="0" fillId="4" borderId="12" xfId="0" applyNumberFormat="1" applyFill="1" applyBorder="1" applyAlignment="1" applyProtection="1">
      <alignment horizontal="center" vertical="center"/>
      <protection locked="0"/>
    </xf>
    <xf numFmtId="165" fontId="0" fillId="4" borderId="13" xfId="0" applyNumberFormat="1" applyFill="1" applyBorder="1" applyAlignment="1" applyProtection="1">
      <alignment horizontal="center" vertical="center"/>
      <protection locked="0"/>
    </xf>
    <xf numFmtId="165" fontId="0" fillId="4" borderId="14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right"/>
    </xf>
    <xf numFmtId="0" fontId="1" fillId="2" borderId="0" xfId="0" applyFont="1" applyFill="1" applyBorder="1" applyAlignment="1" applyProtection="1">
      <alignment horizontal="left"/>
    </xf>
    <xf numFmtId="0" fontId="1" fillId="2" borderId="31" xfId="0" applyFont="1" applyFill="1" applyBorder="1" applyAlignment="1" applyProtection="1">
      <alignment horizontal="center"/>
    </xf>
    <xf numFmtId="0" fontId="24" fillId="7" borderId="12" xfId="0" applyFont="1" applyFill="1" applyBorder="1" applyAlignment="1" applyProtection="1">
      <alignment horizontal="center"/>
      <protection locked="0"/>
    </xf>
    <xf numFmtId="0" fontId="24" fillId="7" borderId="13" xfId="0" applyFont="1" applyFill="1" applyBorder="1" applyAlignment="1" applyProtection="1">
      <alignment horizontal="center"/>
      <protection locked="0"/>
    </xf>
    <xf numFmtId="0" fontId="24" fillId="7" borderId="14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/>
    </xf>
    <xf numFmtId="165" fontId="0" fillId="4" borderId="15" xfId="0" applyNumberFormat="1" applyFill="1" applyBorder="1" applyAlignment="1" applyProtection="1">
      <alignment horizontal="center" vertical="center"/>
      <protection locked="0"/>
    </xf>
    <xf numFmtId="165" fontId="0" fillId="4" borderId="16" xfId="0" applyNumberFormat="1" applyFill="1" applyBorder="1" applyAlignment="1" applyProtection="1">
      <alignment horizontal="center" vertical="center"/>
      <protection locked="0"/>
    </xf>
    <xf numFmtId="165" fontId="0" fillId="4" borderId="17" xfId="0" applyNumberFormat="1" applyFill="1" applyBorder="1" applyAlignment="1" applyProtection="1">
      <alignment horizontal="center" vertical="center"/>
      <protection locked="0"/>
    </xf>
    <xf numFmtId="165" fontId="0" fillId="4" borderId="18" xfId="0" applyNumberFormat="1" applyFill="1" applyBorder="1" applyAlignment="1" applyProtection="1">
      <alignment horizontal="center" vertical="center"/>
      <protection locked="0"/>
    </xf>
    <xf numFmtId="165" fontId="0" fillId="4" borderId="1" xfId="0" applyNumberFormat="1" applyFill="1" applyBorder="1" applyAlignment="1" applyProtection="1">
      <alignment horizontal="center" vertical="center"/>
      <protection locked="0"/>
    </xf>
    <xf numFmtId="165" fontId="0" fillId="4" borderId="19" xfId="0" applyNumberFormat="1" applyFill="1" applyBorder="1" applyAlignment="1" applyProtection="1">
      <alignment horizontal="center" vertical="center"/>
      <protection locked="0"/>
    </xf>
    <xf numFmtId="0" fontId="24" fillId="7" borderId="18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9" xfId="0" applyFont="1" applyFill="1" applyBorder="1" applyAlignment="1" applyProtection="1">
      <alignment horizontal="center" vertical="center"/>
      <protection locked="0"/>
    </xf>
    <xf numFmtId="165" fontId="0" fillId="4" borderId="20" xfId="0" applyNumberFormat="1" applyFill="1" applyBorder="1" applyAlignment="1" applyProtection="1">
      <alignment horizontal="center" vertical="center"/>
      <protection locked="0"/>
    </xf>
    <xf numFmtId="165" fontId="0" fillId="4" borderId="21" xfId="0" applyNumberFormat="1" applyFill="1" applyBorder="1" applyAlignment="1" applyProtection="1">
      <alignment horizontal="center" vertical="center"/>
      <protection locked="0"/>
    </xf>
    <xf numFmtId="165" fontId="0" fillId="4" borderId="22" xfId="0" applyNumberFormat="1" applyFill="1" applyBorder="1" applyAlignment="1" applyProtection="1">
      <alignment horizontal="center" vertical="center"/>
      <protection locked="0"/>
    </xf>
    <xf numFmtId="0" fontId="27" fillId="6" borderId="0" xfId="0" applyFont="1" applyFill="1" applyAlignment="1" applyProtection="1">
      <alignment horizontal="center" vertical="center"/>
    </xf>
    <xf numFmtId="0" fontId="27" fillId="6" borderId="31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/>
    </xf>
    <xf numFmtId="0" fontId="1" fillId="4" borderId="26" xfId="0" applyFont="1" applyFill="1" applyBorder="1" applyAlignment="1" applyProtection="1">
      <alignment horizontal="center"/>
    </xf>
    <xf numFmtId="0" fontId="1" fillId="4" borderId="27" xfId="0" applyFont="1" applyFill="1" applyBorder="1" applyAlignment="1" applyProtection="1">
      <alignment horizontal="center"/>
    </xf>
    <xf numFmtId="0" fontId="1" fillId="4" borderId="28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1" fillId="4" borderId="29" xfId="0" applyFont="1" applyFill="1" applyBorder="1" applyAlignment="1" applyProtection="1">
      <alignment horizontal="center"/>
    </xf>
    <xf numFmtId="0" fontId="9" fillId="4" borderId="28" xfId="0" applyFont="1" applyFill="1" applyBorder="1" applyAlignment="1" applyProtection="1">
      <alignment horizontal="center" vertical="top" wrapText="1"/>
    </xf>
    <xf numFmtId="0" fontId="9" fillId="4" borderId="0" xfId="0" applyFont="1" applyFill="1" applyBorder="1" applyAlignment="1" applyProtection="1">
      <alignment horizontal="center" vertical="top" wrapText="1"/>
    </xf>
    <xf numFmtId="0" fontId="9" fillId="4" borderId="29" xfId="0" applyFont="1" applyFill="1" applyBorder="1" applyAlignment="1" applyProtection="1">
      <alignment horizontal="center" vertical="top" wrapText="1"/>
    </xf>
    <xf numFmtId="0" fontId="9" fillId="4" borderId="30" xfId="0" applyFont="1" applyFill="1" applyBorder="1" applyAlignment="1" applyProtection="1">
      <alignment horizontal="center" vertical="top" wrapText="1"/>
    </xf>
    <xf numFmtId="0" fontId="9" fillId="4" borderId="31" xfId="0" applyFont="1" applyFill="1" applyBorder="1" applyAlignment="1" applyProtection="1">
      <alignment horizontal="center" vertical="top" wrapText="1"/>
    </xf>
    <xf numFmtId="0" fontId="9" fillId="4" borderId="32" xfId="0" applyFont="1" applyFill="1" applyBorder="1" applyAlignment="1" applyProtection="1">
      <alignment horizontal="center" vertical="top" wrapText="1"/>
    </xf>
    <xf numFmtId="0" fontId="25" fillId="6" borderId="0" xfId="0" applyFont="1" applyFill="1" applyAlignment="1" applyProtection="1">
      <alignment horizontal="center" vertical="center"/>
    </xf>
    <xf numFmtId="0" fontId="25" fillId="6" borderId="31" xfId="0" applyFont="1" applyFill="1" applyBorder="1" applyAlignment="1" applyProtection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</xf>
    <xf numFmtId="2" fontId="0" fillId="2" borderId="14" xfId="0" applyNumberFormat="1" applyFill="1" applyBorder="1" applyAlignment="1" applyProtection="1">
      <alignment horizontal="center" vertical="center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19" xfId="0" applyFont="1" applyFill="1" applyBorder="1" applyAlignment="1" applyProtection="1">
      <alignment horizontal="center" vertical="center"/>
      <protection locked="0"/>
    </xf>
    <xf numFmtId="0" fontId="0" fillId="4" borderId="11" xfId="0" applyFont="1" applyFill="1" applyBorder="1" applyAlignment="1" applyProtection="1">
      <alignment horizontal="center" vertical="center"/>
      <protection locked="0"/>
    </xf>
    <xf numFmtId="166" fontId="0" fillId="4" borderId="20" xfId="0" applyNumberFormat="1" applyFont="1" applyFill="1" applyBorder="1" applyAlignment="1" applyProtection="1">
      <alignment horizontal="center" vertical="center"/>
      <protection locked="0"/>
    </xf>
    <xf numFmtId="166" fontId="0" fillId="4" borderId="22" xfId="0" applyNumberFormat="1" applyFont="1" applyFill="1" applyBorder="1" applyAlignment="1" applyProtection="1">
      <alignment horizontal="center" vertical="center"/>
      <protection locked="0"/>
    </xf>
    <xf numFmtId="166" fontId="0" fillId="4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50" xfId="0" applyFont="1" applyFill="1" applyBorder="1" applyAlignment="1" applyProtection="1">
      <alignment horizontal="center" vertical="center"/>
      <protection locked="0"/>
    </xf>
    <xf numFmtId="0" fontId="0" fillId="4" borderId="5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5" borderId="0" xfId="0" applyFont="1" applyFill="1" applyAlignment="1">
      <alignment horizontal="right"/>
    </xf>
    <xf numFmtId="0" fontId="2" fillId="5" borderId="6" xfId="0" applyFont="1" applyFill="1" applyBorder="1" applyAlignment="1">
      <alignment horizontal="right"/>
    </xf>
    <xf numFmtId="1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6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0" fontId="0" fillId="2" borderId="10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6" xfId="0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ill>
        <patternFill patternType="lightGrid">
          <fgColor theme="1" tint="4.9989318521683403E-2"/>
        </patternFill>
      </fill>
    </dxf>
    <dxf>
      <fill>
        <patternFill patternType="lightGrid">
          <fgColor theme="1" tint="4.9989318521683403E-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lightGrid"/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6007E"/>
      <color rgb="FFFFB7DE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226060</xdr:colOff>
      <xdr:row>0</xdr:row>
      <xdr:rowOff>167641</xdr:rowOff>
    </xdr:from>
    <xdr:to>
      <xdr:col>44</xdr:col>
      <xdr:colOff>289560</xdr:colOff>
      <xdr:row>1</xdr:row>
      <xdr:rowOff>194734</xdr:rowOff>
    </xdr:to>
    <xdr:sp macro="[0]!ClearAll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5E628654-2AEA-48B3-B902-2821BC020969}"/>
            </a:ext>
          </a:extLst>
        </xdr:cNvPr>
        <xdr:cNvSpPr/>
      </xdr:nvSpPr>
      <xdr:spPr>
        <a:xfrm>
          <a:off x="12011660" y="167641"/>
          <a:ext cx="1384300" cy="340360"/>
        </a:xfrm>
        <a:prstGeom prst="round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200"/>
            <a:t>Clear Form</a:t>
          </a:r>
        </a:p>
      </xdr:txBody>
    </xdr:sp>
    <xdr:clientData/>
  </xdr:twoCellAnchor>
  <xdr:twoCellAnchor editAs="oneCell">
    <xdr:from>
      <xdr:col>0</xdr:col>
      <xdr:colOff>25399</xdr:colOff>
      <xdr:row>0</xdr:row>
      <xdr:rowOff>1</xdr:rowOff>
    </xdr:from>
    <xdr:to>
      <xdr:col>7</xdr:col>
      <xdr:colOff>287866</xdr:colOff>
      <xdr:row>1</xdr:row>
      <xdr:rowOff>302960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6989205-6DB3-46DB-A86B-224F9B4DC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99" y="1"/>
          <a:ext cx="2396067" cy="609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10</xdr:row>
      <xdr:rowOff>0</xdr:rowOff>
    </xdr:from>
    <xdr:ext cx="2566714" cy="2331370"/>
    <xdr:pic>
      <xdr:nvPicPr>
        <xdr:cNvPr id="2" name="Picture 1" descr="Simple Mortgage Calculator With Python and Excel | by Pendora | The Startup  | Medium">
          <a:extLst>
            <a:ext uri="{FF2B5EF4-FFF2-40B4-BE49-F238E27FC236}">
              <a16:creationId xmlns:a16="http://schemas.microsoft.com/office/drawing/2014/main" id="{F3E4340E-6577-4E8E-A497-A1CF13EB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1780" y="1828800"/>
          <a:ext cx="2566714" cy="2331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7A39-6EA9-489A-9D99-20CA2D92E158}">
  <sheetPr codeName="Sheet1"/>
  <dimension ref="A1:AT38"/>
  <sheetViews>
    <sheetView tabSelected="1" zoomScale="90" zoomScaleNormal="90" workbookViewId="0">
      <selection activeCell="B11" sqref="B11:I11"/>
    </sheetView>
  </sheetViews>
  <sheetFormatPr defaultColWidth="4.7109375" defaultRowHeight="15" x14ac:dyDescent="0.25"/>
  <cols>
    <col min="1" max="1" width="2.28515625" style="78" bestFit="1" customWidth="1"/>
    <col min="2" max="9" width="4.7109375" style="78"/>
    <col min="10" max="11" width="1.85546875" style="78" customWidth="1"/>
    <col min="12" max="21" width="4.7109375" style="78"/>
    <col min="22" max="23" width="1.85546875" style="78" customWidth="1"/>
    <col min="24" max="33" width="4.7109375" style="78"/>
    <col min="34" max="35" width="1.85546875" style="78" customWidth="1"/>
    <col min="36" max="45" width="4.7109375" style="78"/>
    <col min="46" max="46" width="1.85546875" style="78" customWidth="1"/>
    <col min="47" max="16384" width="4.7109375" style="78"/>
  </cols>
  <sheetData>
    <row r="1" spans="1:46" ht="24.6" customHeight="1" x14ac:dyDescent="0.25">
      <c r="A1" s="135"/>
      <c r="B1" s="135"/>
      <c r="C1" s="135"/>
      <c r="D1" s="135"/>
      <c r="E1" s="135"/>
      <c r="F1" s="135"/>
      <c r="G1" s="136"/>
      <c r="H1" s="136"/>
      <c r="I1" s="273" t="s">
        <v>408</v>
      </c>
      <c r="J1" s="273"/>
      <c r="K1" s="273"/>
      <c r="L1" s="273"/>
      <c r="M1" s="273"/>
      <c r="N1" s="273"/>
      <c r="O1" s="273"/>
      <c r="P1" s="287" t="s">
        <v>411</v>
      </c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  <c r="AJ1" s="287"/>
      <c r="AK1" s="287"/>
      <c r="AL1" s="287"/>
      <c r="AM1" s="287"/>
      <c r="AN1" s="287"/>
      <c r="AO1" s="135"/>
      <c r="AP1" s="135"/>
      <c r="AQ1" s="135"/>
      <c r="AR1" s="135"/>
      <c r="AS1" s="135"/>
      <c r="AT1" s="147"/>
    </row>
    <row r="2" spans="1:46" ht="24.6" customHeight="1" thickBot="1" x14ac:dyDescent="0.3">
      <c r="A2" s="135"/>
      <c r="B2" s="135"/>
      <c r="C2" s="135"/>
      <c r="D2" s="135"/>
      <c r="E2" s="135"/>
      <c r="F2" s="135"/>
      <c r="G2" s="137"/>
      <c r="H2" s="137"/>
      <c r="I2" s="274"/>
      <c r="J2" s="274"/>
      <c r="K2" s="274"/>
      <c r="L2" s="274"/>
      <c r="M2" s="274"/>
      <c r="N2" s="274"/>
      <c r="O2" s="274"/>
      <c r="P2" s="288"/>
      <c r="Q2" s="288"/>
      <c r="R2" s="288"/>
      <c r="S2" s="288"/>
      <c r="T2" s="288"/>
      <c r="U2" s="288"/>
      <c r="V2" s="288"/>
      <c r="W2" s="288"/>
      <c r="X2" s="288"/>
      <c r="Y2" s="288"/>
      <c r="Z2" s="288"/>
      <c r="AA2" s="288"/>
      <c r="AB2" s="288"/>
      <c r="AC2" s="288"/>
      <c r="AD2" s="288"/>
      <c r="AE2" s="288"/>
      <c r="AF2" s="288"/>
      <c r="AG2" s="288"/>
      <c r="AH2" s="288"/>
      <c r="AI2" s="288"/>
      <c r="AJ2" s="288"/>
      <c r="AK2" s="288"/>
      <c r="AL2" s="288"/>
      <c r="AM2" s="288"/>
      <c r="AN2" s="288"/>
      <c r="AO2" s="135"/>
      <c r="AP2" s="135"/>
      <c r="AQ2" s="135"/>
      <c r="AR2" s="135"/>
      <c r="AS2" s="135"/>
      <c r="AT2" s="148"/>
    </row>
    <row r="3" spans="1:46" ht="12" customHeight="1" x14ac:dyDescent="0.25">
      <c r="A3" s="228" t="s">
        <v>0</v>
      </c>
      <c r="B3" s="229"/>
      <c r="C3" s="229"/>
      <c r="D3" s="229"/>
      <c r="E3" s="229"/>
      <c r="F3" s="229"/>
      <c r="G3" s="229"/>
      <c r="H3" s="229"/>
      <c r="I3" s="229"/>
      <c r="J3" s="230"/>
      <c r="K3" s="75"/>
      <c r="L3" s="76"/>
      <c r="M3" s="76"/>
      <c r="N3" s="76"/>
      <c r="O3" s="76"/>
      <c r="P3" s="76"/>
      <c r="Q3" s="76"/>
      <c r="R3" s="76"/>
      <c r="S3" s="76"/>
      <c r="T3" s="76"/>
      <c r="U3" s="76"/>
      <c r="V3" s="77"/>
      <c r="W3" s="75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7"/>
      <c r="AI3" s="75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7"/>
    </row>
    <row r="4" spans="1:46" ht="12" customHeight="1" thickBot="1" x14ac:dyDescent="0.3">
      <c r="A4" s="231"/>
      <c r="B4" s="232"/>
      <c r="C4" s="232"/>
      <c r="D4" s="232"/>
      <c r="E4" s="232"/>
      <c r="F4" s="232"/>
      <c r="G4" s="232"/>
      <c r="H4" s="232"/>
      <c r="I4" s="232"/>
      <c r="J4" s="233"/>
      <c r="K4" s="79"/>
      <c r="L4" s="82" t="s">
        <v>53</v>
      </c>
      <c r="M4" s="83"/>
      <c r="N4" s="83"/>
      <c r="O4" s="83"/>
      <c r="P4" s="83"/>
      <c r="Q4" s="83"/>
      <c r="R4" s="83"/>
      <c r="S4" s="83"/>
      <c r="T4" s="83"/>
      <c r="U4" s="83"/>
      <c r="V4" s="81"/>
      <c r="W4" s="79"/>
      <c r="X4" s="80" t="s">
        <v>40</v>
      </c>
      <c r="Y4" s="80"/>
      <c r="Z4" s="80"/>
      <c r="AA4" s="80"/>
      <c r="AB4" s="80"/>
      <c r="AC4" s="80"/>
      <c r="AD4" s="179" t="s">
        <v>17</v>
      </c>
      <c r="AE4" s="179"/>
      <c r="AF4" s="179" t="s">
        <v>18</v>
      </c>
      <c r="AG4" s="179"/>
      <c r="AH4" s="81"/>
      <c r="AI4" s="79"/>
      <c r="AJ4" s="82" t="s">
        <v>388</v>
      </c>
      <c r="AK4" s="83"/>
      <c r="AL4" s="83"/>
      <c r="AM4" s="83"/>
      <c r="AN4" s="83"/>
      <c r="AO4" s="83"/>
      <c r="AP4" s="83"/>
      <c r="AQ4" s="83"/>
      <c r="AR4" s="83"/>
      <c r="AS4" s="83"/>
      <c r="AT4" s="81"/>
    </row>
    <row r="5" spans="1:46" ht="12" customHeight="1" thickBot="1" x14ac:dyDescent="0.3">
      <c r="A5" s="231"/>
      <c r="B5" s="232"/>
      <c r="C5" s="232"/>
      <c r="D5" s="232"/>
      <c r="E5" s="232"/>
      <c r="F5" s="232"/>
      <c r="G5" s="232"/>
      <c r="H5" s="232"/>
      <c r="I5" s="232"/>
      <c r="J5" s="233"/>
      <c r="K5" s="79"/>
      <c r="L5" s="83"/>
      <c r="M5" s="83"/>
      <c r="N5" s="83"/>
      <c r="O5" s="83"/>
      <c r="P5" s="83"/>
      <c r="Q5" s="83"/>
      <c r="R5" s="83"/>
      <c r="S5" s="83"/>
      <c r="T5" s="83"/>
      <c r="U5" s="83"/>
      <c r="V5" s="81"/>
      <c r="W5" s="79"/>
      <c r="X5" s="84" t="s">
        <v>38</v>
      </c>
      <c r="Y5" s="83"/>
      <c r="Z5" s="83"/>
      <c r="AA5" s="83"/>
      <c r="AB5" s="83"/>
      <c r="AC5" s="83"/>
      <c r="AD5" s="208"/>
      <c r="AE5" s="206"/>
      <c r="AF5" s="206"/>
      <c r="AG5" s="207"/>
      <c r="AH5" s="81"/>
      <c r="AI5" s="79"/>
      <c r="AJ5" s="83"/>
      <c r="AK5" s="83"/>
      <c r="AL5" s="83"/>
      <c r="AM5" s="83"/>
      <c r="AN5" s="83"/>
      <c r="AO5" s="83"/>
      <c r="AP5" s="83"/>
      <c r="AQ5" s="80" t="s">
        <v>149</v>
      </c>
      <c r="AR5" s="83"/>
      <c r="AS5" s="83"/>
      <c r="AT5" s="81"/>
    </row>
    <row r="6" spans="1:46" ht="12" customHeight="1" thickBot="1" x14ac:dyDescent="0.3">
      <c r="A6" s="138"/>
      <c r="B6" s="234" t="s">
        <v>421</v>
      </c>
      <c r="C6" s="234"/>
      <c r="D6" s="234"/>
      <c r="E6" s="234"/>
      <c r="F6" s="234"/>
      <c r="G6" s="234"/>
      <c r="H6" s="234"/>
      <c r="I6" s="234"/>
      <c r="J6" s="139"/>
      <c r="K6" s="79"/>
      <c r="L6" s="236" t="s">
        <v>187</v>
      </c>
      <c r="M6" s="236"/>
      <c r="N6" s="236"/>
      <c r="O6" s="236"/>
      <c r="P6" s="236"/>
      <c r="Q6" s="236"/>
      <c r="R6" s="237"/>
      <c r="S6" s="200"/>
      <c r="T6" s="201"/>
      <c r="U6" s="202"/>
      <c r="V6" s="81"/>
      <c r="W6" s="79"/>
      <c r="X6" s="84" t="s">
        <v>39</v>
      </c>
      <c r="Y6" s="83"/>
      <c r="Z6" s="83"/>
      <c r="AA6" s="83"/>
      <c r="AB6" s="83"/>
      <c r="AC6" s="83"/>
      <c r="AD6" s="209"/>
      <c r="AE6" s="210"/>
      <c r="AF6" s="210"/>
      <c r="AG6" s="211"/>
      <c r="AH6" s="81"/>
      <c r="AI6" s="79"/>
      <c r="AJ6" s="186" t="s">
        <v>61</v>
      </c>
      <c r="AK6" s="186"/>
      <c r="AL6" s="186"/>
      <c r="AM6" s="186"/>
      <c r="AN6" s="186"/>
      <c r="AO6" s="186"/>
      <c r="AP6" s="83"/>
      <c r="AQ6" s="160"/>
      <c r="AR6" s="161"/>
      <c r="AS6" s="83"/>
      <c r="AT6" s="81"/>
    </row>
    <row r="7" spans="1:46" ht="12" customHeight="1" thickBot="1" x14ac:dyDescent="0.3">
      <c r="A7" s="140"/>
      <c r="B7" s="235"/>
      <c r="C7" s="235"/>
      <c r="D7" s="235"/>
      <c r="E7" s="235"/>
      <c r="F7" s="235"/>
      <c r="G7" s="235"/>
      <c r="H7" s="235"/>
      <c r="I7" s="235"/>
      <c r="J7" s="141"/>
      <c r="K7" s="79"/>
      <c r="L7" s="236" t="s">
        <v>186</v>
      </c>
      <c r="M7" s="236"/>
      <c r="N7" s="236"/>
      <c r="O7" s="236"/>
      <c r="P7" s="236"/>
      <c r="Q7" s="236"/>
      <c r="R7" s="237"/>
      <c r="S7" s="203"/>
      <c r="T7" s="204"/>
      <c r="U7" s="205"/>
      <c r="V7" s="81"/>
      <c r="W7" s="79"/>
      <c r="X7" s="84" t="s">
        <v>389</v>
      </c>
      <c r="Y7" s="83"/>
      <c r="Z7" s="83"/>
      <c r="AA7" s="83"/>
      <c r="AB7" s="83"/>
      <c r="AC7" s="83"/>
      <c r="AD7" s="182"/>
      <c r="AE7" s="183"/>
      <c r="AF7" s="183"/>
      <c r="AG7" s="199"/>
      <c r="AH7" s="81"/>
      <c r="AI7" s="79"/>
      <c r="AJ7" s="186" t="s">
        <v>62</v>
      </c>
      <c r="AK7" s="186"/>
      <c r="AL7" s="186"/>
      <c r="AM7" s="186"/>
      <c r="AN7" s="186"/>
      <c r="AO7" s="186"/>
      <c r="AP7" s="83"/>
      <c r="AQ7" s="160"/>
      <c r="AR7" s="161"/>
      <c r="AS7" s="83"/>
      <c r="AT7" s="81"/>
    </row>
    <row r="8" spans="1:46" ht="12" customHeight="1" thickBot="1" x14ac:dyDescent="0.3">
      <c r="A8" s="79"/>
      <c r="B8" s="83"/>
      <c r="C8" s="83"/>
      <c r="D8" s="83"/>
      <c r="E8" s="83"/>
      <c r="F8" s="83"/>
      <c r="G8" s="83"/>
      <c r="H8" s="83"/>
      <c r="I8" s="83"/>
      <c r="J8" s="81"/>
      <c r="K8" s="79"/>
      <c r="L8" s="236" t="s">
        <v>35</v>
      </c>
      <c r="M8" s="236"/>
      <c r="N8" s="236"/>
      <c r="O8" s="236"/>
      <c r="P8" s="236"/>
      <c r="Q8" s="236"/>
      <c r="R8" s="236"/>
      <c r="S8" s="212"/>
      <c r="T8" s="213"/>
      <c r="U8" s="214"/>
      <c r="V8" s="81"/>
      <c r="W8" s="79"/>
      <c r="X8" s="84" t="s">
        <v>390</v>
      </c>
      <c r="Y8" s="83"/>
      <c r="Z8" s="83"/>
      <c r="AA8" s="83"/>
      <c r="AB8" s="83"/>
      <c r="AC8" s="83"/>
      <c r="AD8" s="184"/>
      <c r="AE8" s="185"/>
      <c r="AF8" s="185"/>
      <c r="AG8" s="197"/>
      <c r="AH8" s="81"/>
      <c r="AI8" s="79"/>
      <c r="AJ8" s="186" t="s">
        <v>63</v>
      </c>
      <c r="AK8" s="186"/>
      <c r="AL8" s="186"/>
      <c r="AM8" s="186"/>
      <c r="AN8" s="186"/>
      <c r="AO8" s="186"/>
      <c r="AP8" s="83"/>
      <c r="AQ8" s="160"/>
      <c r="AR8" s="161"/>
      <c r="AS8" s="83"/>
      <c r="AT8" s="81"/>
    </row>
    <row r="9" spans="1:46" ht="12" customHeight="1" thickBot="1" x14ac:dyDescent="0.3">
      <c r="A9" s="79"/>
      <c r="B9" s="260" t="s">
        <v>50</v>
      </c>
      <c r="C9" s="260"/>
      <c r="D9" s="260"/>
      <c r="E9" s="260"/>
      <c r="F9" s="260"/>
      <c r="G9" s="260"/>
      <c r="H9" s="260"/>
      <c r="I9" s="260"/>
      <c r="J9" s="81"/>
      <c r="K9" s="79"/>
      <c r="L9" s="236" t="s">
        <v>36</v>
      </c>
      <c r="M9" s="236"/>
      <c r="N9" s="236"/>
      <c r="O9" s="236"/>
      <c r="P9" s="236"/>
      <c r="Q9" s="236"/>
      <c r="R9" s="236"/>
      <c r="S9" s="215"/>
      <c r="T9" s="216"/>
      <c r="U9" s="217"/>
      <c r="V9" s="81"/>
      <c r="W9" s="79"/>
      <c r="X9" s="84" t="s">
        <v>391</v>
      </c>
      <c r="Y9" s="83"/>
      <c r="Z9" s="83"/>
      <c r="AA9" s="83"/>
      <c r="AB9" s="83"/>
      <c r="AC9" s="83"/>
      <c r="AD9" s="180"/>
      <c r="AE9" s="181"/>
      <c r="AF9" s="181"/>
      <c r="AG9" s="198"/>
      <c r="AH9" s="81"/>
      <c r="AI9" s="79"/>
      <c r="AJ9" s="186" t="s">
        <v>64</v>
      </c>
      <c r="AK9" s="186"/>
      <c r="AL9" s="186"/>
      <c r="AM9" s="186"/>
      <c r="AN9" s="186"/>
      <c r="AO9" s="186"/>
      <c r="AP9" s="83"/>
      <c r="AQ9" s="160"/>
      <c r="AR9" s="161"/>
      <c r="AS9" s="83"/>
      <c r="AT9" s="81"/>
    </row>
    <row r="10" spans="1:46" ht="12" customHeight="1" thickBot="1" x14ac:dyDescent="0.3">
      <c r="A10" s="79"/>
      <c r="B10" s="122"/>
      <c r="C10" s="122"/>
      <c r="D10" s="122"/>
      <c r="E10" s="122"/>
      <c r="F10" s="122"/>
      <c r="G10" s="122"/>
      <c r="H10" s="122"/>
      <c r="I10" s="122"/>
      <c r="J10" s="81"/>
      <c r="K10" s="86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8"/>
      <c r="W10" s="79"/>
      <c r="X10" s="84" t="s">
        <v>392</v>
      </c>
      <c r="Y10" s="83"/>
      <c r="Z10" s="83"/>
      <c r="AA10" s="83"/>
      <c r="AB10" s="83"/>
      <c r="AC10" s="83"/>
      <c r="AD10" s="194"/>
      <c r="AE10" s="195"/>
      <c r="AF10" s="195"/>
      <c r="AG10" s="196"/>
      <c r="AH10" s="81"/>
      <c r="AI10" s="79"/>
      <c r="AJ10" s="134" t="s">
        <v>73</v>
      </c>
      <c r="AK10" s="134"/>
      <c r="AL10" s="134"/>
      <c r="AM10" s="134"/>
      <c r="AN10" s="134"/>
      <c r="AO10" s="134"/>
      <c r="AP10" s="83"/>
      <c r="AQ10" s="160"/>
      <c r="AR10" s="161"/>
      <c r="AS10" s="83"/>
      <c r="AT10" s="81"/>
    </row>
    <row r="11" spans="1:46" ht="12" customHeight="1" thickBot="1" x14ac:dyDescent="0.3">
      <c r="A11" s="79"/>
      <c r="B11" s="257"/>
      <c r="C11" s="258"/>
      <c r="D11" s="258"/>
      <c r="E11" s="258"/>
      <c r="F11" s="258"/>
      <c r="G11" s="258"/>
      <c r="H11" s="258"/>
      <c r="I11" s="259"/>
      <c r="J11" s="81"/>
      <c r="K11" s="75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7"/>
      <c r="W11" s="79"/>
      <c r="X11" s="84" t="s">
        <v>393</v>
      </c>
      <c r="Y11" s="83"/>
      <c r="Z11" s="83"/>
      <c r="AA11" s="83"/>
      <c r="AB11" s="83"/>
      <c r="AC11" s="83"/>
      <c r="AD11" s="184"/>
      <c r="AE11" s="185"/>
      <c r="AF11" s="185"/>
      <c r="AG11" s="197"/>
      <c r="AH11" s="81"/>
      <c r="AI11" s="79"/>
      <c r="AJ11" s="186" t="s">
        <v>65</v>
      </c>
      <c r="AK11" s="186"/>
      <c r="AL11" s="186"/>
      <c r="AM11" s="186"/>
      <c r="AN11" s="186"/>
      <c r="AO11" s="186"/>
      <c r="AP11" s="83"/>
      <c r="AQ11" s="191"/>
      <c r="AR11" s="161"/>
      <c r="AS11" s="83"/>
      <c r="AT11" s="81"/>
    </row>
    <row r="12" spans="1:46" ht="12" customHeight="1" thickBot="1" x14ac:dyDescent="0.3">
      <c r="A12" s="79"/>
      <c r="B12" s="83"/>
      <c r="C12" s="83"/>
      <c r="D12" s="83"/>
      <c r="E12" s="83"/>
      <c r="F12" s="83"/>
      <c r="G12" s="83"/>
      <c r="H12" s="83"/>
      <c r="I12" s="83"/>
      <c r="J12" s="81"/>
      <c r="K12" s="79"/>
      <c r="L12" s="82" t="s">
        <v>410</v>
      </c>
      <c r="M12" s="83"/>
      <c r="N12" s="83"/>
      <c r="O12" s="83"/>
      <c r="P12" s="83"/>
      <c r="Q12" s="83"/>
      <c r="R12" s="83"/>
      <c r="S12" s="83"/>
      <c r="T12" s="83"/>
      <c r="U12" s="83"/>
      <c r="V12" s="81"/>
      <c r="W12" s="79"/>
      <c r="X12" s="84" t="s">
        <v>394</v>
      </c>
      <c r="Y12" s="83"/>
      <c r="Z12" s="83"/>
      <c r="AA12" s="83"/>
      <c r="AB12" s="83"/>
      <c r="AC12" s="83"/>
      <c r="AD12" s="180"/>
      <c r="AE12" s="181"/>
      <c r="AF12" s="181"/>
      <c r="AG12" s="198"/>
      <c r="AH12" s="81"/>
      <c r="AI12" s="86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</row>
    <row r="13" spans="1:46" ht="12" customHeight="1" thickBot="1" x14ac:dyDescent="0.3">
      <c r="A13" s="75"/>
      <c r="B13" s="76"/>
      <c r="C13" s="76"/>
      <c r="D13" s="76"/>
      <c r="E13" s="76"/>
      <c r="F13" s="76"/>
      <c r="G13" s="76"/>
      <c r="H13" s="76"/>
      <c r="I13" s="76"/>
      <c r="J13" s="77"/>
      <c r="K13" s="79"/>
      <c r="L13" s="80"/>
      <c r="M13" s="83"/>
      <c r="N13" s="83"/>
      <c r="O13" s="83"/>
      <c r="P13" s="256" t="s">
        <v>17</v>
      </c>
      <c r="Q13" s="256"/>
      <c r="R13" s="256"/>
      <c r="S13" s="256" t="s">
        <v>18</v>
      </c>
      <c r="T13" s="256"/>
      <c r="U13" s="256"/>
      <c r="V13" s="81"/>
      <c r="W13" s="79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1"/>
      <c r="AI13" s="75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7"/>
    </row>
    <row r="14" spans="1:46" ht="12" customHeight="1" thickBot="1" x14ac:dyDescent="0.3">
      <c r="A14" s="79"/>
      <c r="B14" s="82" t="s">
        <v>51</v>
      </c>
      <c r="C14" s="83"/>
      <c r="D14" s="83"/>
      <c r="E14" s="83"/>
      <c r="F14" s="83"/>
      <c r="G14" s="83"/>
      <c r="H14" s="83"/>
      <c r="I14" s="83"/>
      <c r="J14" s="81"/>
      <c r="K14" s="79"/>
      <c r="L14" s="129" t="s">
        <v>21</v>
      </c>
      <c r="M14" s="83"/>
      <c r="N14" s="83"/>
      <c r="O14" s="83"/>
      <c r="P14" s="240"/>
      <c r="Q14" s="241"/>
      <c r="R14" s="242"/>
      <c r="S14" s="240"/>
      <c r="T14" s="241"/>
      <c r="U14" s="247"/>
      <c r="V14" s="81"/>
      <c r="W14" s="79"/>
      <c r="X14" s="80" t="s">
        <v>41</v>
      </c>
      <c r="Y14" s="83"/>
      <c r="Z14" s="83"/>
      <c r="AA14" s="83"/>
      <c r="AB14" s="83"/>
      <c r="AC14" s="83"/>
      <c r="AD14" s="179" t="s">
        <v>17</v>
      </c>
      <c r="AE14" s="179"/>
      <c r="AF14" s="179" t="s">
        <v>18</v>
      </c>
      <c r="AG14" s="179"/>
      <c r="AH14" s="81"/>
      <c r="AI14" s="79"/>
      <c r="AJ14" s="82" t="s">
        <v>66</v>
      </c>
      <c r="AK14" s="83"/>
      <c r="AL14" s="83"/>
      <c r="AM14" s="83"/>
      <c r="AN14" s="83"/>
      <c r="AO14" s="83"/>
      <c r="AP14" s="83"/>
      <c r="AQ14" s="83"/>
      <c r="AR14" s="83"/>
      <c r="AS14" s="83"/>
      <c r="AT14" s="81"/>
    </row>
    <row r="15" spans="1:46" ht="12" customHeight="1" thickBot="1" x14ac:dyDescent="0.3">
      <c r="A15" s="79"/>
      <c r="B15" s="83"/>
      <c r="C15" s="83"/>
      <c r="D15" s="83"/>
      <c r="E15" s="83"/>
      <c r="F15" s="83"/>
      <c r="G15" s="83"/>
      <c r="H15" s="83"/>
      <c r="I15" s="83"/>
      <c r="J15" s="81"/>
      <c r="K15" s="79"/>
      <c r="L15" s="80"/>
      <c r="M15" s="83"/>
      <c r="N15" s="83"/>
      <c r="O15" s="83"/>
      <c r="P15" s="83"/>
      <c r="Q15" s="83"/>
      <c r="R15" s="83"/>
      <c r="S15" s="83"/>
      <c r="T15" s="83"/>
      <c r="U15" s="83"/>
      <c r="V15" s="81"/>
      <c r="W15" s="79"/>
      <c r="X15" s="85" t="s">
        <v>54</v>
      </c>
      <c r="Y15" s="83"/>
      <c r="Z15" s="83"/>
      <c r="AA15" s="83"/>
      <c r="AB15" s="83"/>
      <c r="AC15" s="83"/>
      <c r="AD15" s="187"/>
      <c r="AE15" s="188"/>
      <c r="AF15" s="187"/>
      <c r="AG15" s="188"/>
      <c r="AH15" s="81"/>
      <c r="AI15" s="79"/>
      <c r="AJ15" s="162" t="s">
        <v>371</v>
      </c>
      <c r="AK15" s="162"/>
      <c r="AL15" s="162"/>
      <c r="AM15" s="162"/>
      <c r="AN15" s="162"/>
      <c r="AO15" s="162"/>
      <c r="AP15" s="162"/>
      <c r="AQ15" s="162"/>
      <c r="AR15" s="162"/>
      <c r="AS15" s="83"/>
      <c r="AT15" s="81"/>
    </row>
    <row r="16" spans="1:46" ht="12" customHeight="1" thickBot="1" x14ac:dyDescent="0.3">
      <c r="A16" s="79"/>
      <c r="B16" s="254" t="s">
        <v>5</v>
      </c>
      <c r="C16" s="254"/>
      <c r="D16" s="254"/>
      <c r="E16" s="254"/>
      <c r="F16" s="83"/>
      <c r="G16" s="251"/>
      <c r="H16" s="252"/>
      <c r="I16" s="253"/>
      <c r="J16" s="81"/>
      <c r="K16" s="79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1"/>
      <c r="W16" s="79"/>
      <c r="X16" s="84" t="s">
        <v>395</v>
      </c>
      <c r="Y16" s="83"/>
      <c r="Z16" s="83"/>
      <c r="AA16" s="83"/>
      <c r="AB16" s="83"/>
      <c r="AC16" s="83"/>
      <c r="AD16" s="182"/>
      <c r="AE16" s="183"/>
      <c r="AF16" s="182"/>
      <c r="AG16" s="183"/>
      <c r="AH16" s="81"/>
      <c r="AI16" s="79"/>
      <c r="AJ16" s="80" t="s">
        <v>71</v>
      </c>
      <c r="AK16" s="83"/>
      <c r="AL16" s="83"/>
      <c r="AM16" s="83"/>
      <c r="AN16" s="83"/>
      <c r="AO16" s="159" t="s">
        <v>67</v>
      </c>
      <c r="AP16" s="159"/>
      <c r="AQ16" s="159" t="s">
        <v>70</v>
      </c>
      <c r="AR16" s="159"/>
      <c r="AS16" s="83"/>
      <c r="AT16" s="81"/>
    </row>
    <row r="17" spans="1:46" ht="12" customHeight="1" thickBot="1" x14ac:dyDescent="0.3">
      <c r="A17" s="79"/>
      <c r="B17" s="142"/>
      <c r="C17" s="142"/>
      <c r="D17" s="142"/>
      <c r="E17" s="142"/>
      <c r="F17" s="83"/>
      <c r="G17" s="83"/>
      <c r="H17" s="83"/>
      <c r="I17" s="83"/>
      <c r="J17" s="81"/>
      <c r="K17" s="79"/>
      <c r="L17" s="80" t="s">
        <v>27</v>
      </c>
      <c r="M17" s="80"/>
      <c r="N17" s="80"/>
      <c r="O17" s="80"/>
      <c r="P17" s="80"/>
      <c r="Q17" s="80"/>
      <c r="R17" s="179" t="s">
        <v>17</v>
      </c>
      <c r="S17" s="179"/>
      <c r="T17" s="179" t="s">
        <v>18</v>
      </c>
      <c r="U17" s="179"/>
      <c r="V17" s="81"/>
      <c r="W17" s="79"/>
      <c r="X17" s="84" t="s">
        <v>396</v>
      </c>
      <c r="Y17" s="83"/>
      <c r="Z17" s="83"/>
      <c r="AA17" s="83"/>
      <c r="AB17" s="83"/>
      <c r="AC17" s="83"/>
      <c r="AD17" s="184"/>
      <c r="AE17" s="185"/>
      <c r="AF17" s="184"/>
      <c r="AG17" s="185"/>
      <c r="AH17" s="81"/>
      <c r="AI17" s="79"/>
      <c r="AJ17" s="186" t="s">
        <v>68</v>
      </c>
      <c r="AK17" s="186"/>
      <c r="AL17" s="186"/>
      <c r="AM17" s="186"/>
      <c r="AN17" s="193"/>
      <c r="AO17" s="189">
        <f>IFERROR(IncExpSummary!E18,0)</f>
        <v>0</v>
      </c>
      <c r="AP17" s="190"/>
      <c r="AQ17" s="191"/>
      <c r="AR17" s="192"/>
      <c r="AS17" s="83"/>
      <c r="AT17" s="81"/>
    </row>
    <row r="18" spans="1:46" ht="12" customHeight="1" thickBot="1" x14ac:dyDescent="0.3">
      <c r="A18" s="79"/>
      <c r="B18" s="143" t="s">
        <v>7</v>
      </c>
      <c r="C18" s="144"/>
      <c r="D18" s="144"/>
      <c r="E18" s="144"/>
      <c r="F18" s="144"/>
      <c r="G18" s="144"/>
      <c r="H18" s="144"/>
      <c r="I18" s="144"/>
      <c r="J18" s="81"/>
      <c r="K18" s="79"/>
      <c r="L18" s="89" t="s">
        <v>44</v>
      </c>
      <c r="M18" s="90"/>
      <c r="N18" s="90"/>
      <c r="O18" s="90"/>
      <c r="P18" s="90"/>
      <c r="Q18" s="90"/>
      <c r="R18" s="238"/>
      <c r="S18" s="239"/>
      <c r="T18" s="246"/>
      <c r="U18" s="239"/>
      <c r="V18" s="81"/>
      <c r="W18" s="79"/>
      <c r="X18" s="84" t="s">
        <v>397</v>
      </c>
      <c r="Y18" s="83"/>
      <c r="Z18" s="83"/>
      <c r="AA18" s="83"/>
      <c r="AB18" s="83"/>
      <c r="AC18" s="83"/>
      <c r="AD18" s="180"/>
      <c r="AE18" s="181"/>
      <c r="AF18" s="180"/>
      <c r="AG18" s="181"/>
      <c r="AH18" s="81"/>
      <c r="AI18" s="79"/>
      <c r="AJ18" s="186" t="s">
        <v>69</v>
      </c>
      <c r="AK18" s="186"/>
      <c r="AL18" s="186"/>
      <c r="AM18" s="186"/>
      <c r="AN18" s="193"/>
      <c r="AO18" s="189">
        <f>IFERROR(IncExpSummary!F18,0)</f>
        <v>0</v>
      </c>
      <c r="AP18" s="190"/>
      <c r="AQ18" s="191"/>
      <c r="AR18" s="192"/>
      <c r="AS18" s="83"/>
      <c r="AT18" s="81"/>
    </row>
    <row r="19" spans="1:46" ht="12" customHeight="1" thickBot="1" x14ac:dyDescent="0.3">
      <c r="A19" s="79"/>
      <c r="B19" s="142"/>
      <c r="C19" s="142"/>
      <c r="D19" s="142"/>
      <c r="E19" s="142"/>
      <c r="F19" s="83"/>
      <c r="G19" s="83"/>
      <c r="H19" s="255" t="s">
        <v>9</v>
      </c>
      <c r="I19" s="255"/>
      <c r="J19" s="81"/>
      <c r="K19" s="79"/>
      <c r="L19" s="89" t="s">
        <v>45</v>
      </c>
      <c r="M19" s="83"/>
      <c r="N19" s="83"/>
      <c r="O19" s="83"/>
      <c r="P19" s="83"/>
      <c r="Q19" s="83"/>
      <c r="R19" s="291"/>
      <c r="S19" s="292"/>
      <c r="T19" s="293"/>
      <c r="U19" s="292"/>
      <c r="V19" s="81"/>
      <c r="W19" s="79"/>
      <c r="X19" s="84" t="s">
        <v>398</v>
      </c>
      <c r="Y19" s="83"/>
      <c r="Z19" s="83"/>
      <c r="AA19" s="83"/>
      <c r="AB19" s="83"/>
      <c r="AC19" s="83"/>
      <c r="AD19" s="182"/>
      <c r="AE19" s="183"/>
      <c r="AF19" s="182"/>
      <c r="AG19" s="183"/>
      <c r="AH19" s="81"/>
      <c r="AI19" s="86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8"/>
    </row>
    <row r="20" spans="1:46" ht="12" customHeight="1" thickBot="1" x14ac:dyDescent="0.3">
      <c r="A20" s="79"/>
      <c r="B20" s="255" t="s">
        <v>11</v>
      </c>
      <c r="C20" s="255"/>
      <c r="D20" s="255"/>
      <c r="E20" s="255" t="s">
        <v>3</v>
      </c>
      <c r="F20" s="255"/>
      <c r="G20" s="255"/>
      <c r="H20" s="145" t="s">
        <v>8</v>
      </c>
      <c r="I20" s="145" t="s">
        <v>10</v>
      </c>
      <c r="J20" s="81"/>
      <c r="K20" s="79"/>
      <c r="L20" s="89" t="s">
        <v>46</v>
      </c>
      <c r="M20" s="83"/>
      <c r="N20" s="83"/>
      <c r="O20" s="83"/>
      <c r="P20" s="83"/>
      <c r="Q20" s="83"/>
      <c r="R20" s="294"/>
      <c r="S20" s="295"/>
      <c r="T20" s="296"/>
      <c r="U20" s="295"/>
      <c r="V20" s="81"/>
      <c r="W20" s="79"/>
      <c r="X20" s="84" t="s">
        <v>399</v>
      </c>
      <c r="Y20" s="83"/>
      <c r="Z20" s="83"/>
      <c r="AA20" s="83"/>
      <c r="AB20" s="83"/>
      <c r="AC20" s="83"/>
      <c r="AD20" s="184"/>
      <c r="AE20" s="185"/>
      <c r="AF20" s="184"/>
      <c r="AG20" s="185"/>
      <c r="AH20" s="81"/>
      <c r="AI20" s="75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7"/>
    </row>
    <row r="21" spans="1:46" ht="12" customHeight="1" thickBot="1" x14ac:dyDescent="0.3">
      <c r="A21" s="146">
        <v>1</v>
      </c>
      <c r="B21" s="261"/>
      <c r="C21" s="262"/>
      <c r="D21" s="263"/>
      <c r="E21" s="212"/>
      <c r="F21" s="213"/>
      <c r="G21" s="214"/>
      <c r="H21" s="149"/>
      <c r="I21" s="150"/>
      <c r="J21" s="81"/>
      <c r="K21" s="79"/>
      <c r="L21" s="83"/>
      <c r="M21" s="83"/>
      <c r="N21" s="83"/>
      <c r="O21" s="83"/>
      <c r="P21" s="83"/>
      <c r="Q21" s="83"/>
      <c r="R21" s="224"/>
      <c r="S21" s="224"/>
      <c r="T21" s="224"/>
      <c r="U21" s="224"/>
      <c r="V21" s="81"/>
      <c r="W21" s="79"/>
      <c r="X21" s="84" t="s">
        <v>400</v>
      </c>
      <c r="Y21" s="83"/>
      <c r="Z21" s="83"/>
      <c r="AA21" s="83"/>
      <c r="AB21" s="83"/>
      <c r="AC21" s="83"/>
      <c r="AD21" s="180"/>
      <c r="AE21" s="181"/>
      <c r="AF21" s="180"/>
      <c r="AG21" s="181"/>
      <c r="AH21" s="81"/>
      <c r="AI21" s="79"/>
      <c r="AJ21" s="82" t="s">
        <v>72</v>
      </c>
      <c r="AK21" s="83"/>
      <c r="AL21" s="83"/>
      <c r="AM21" s="83"/>
      <c r="AN21" s="83"/>
      <c r="AO21" s="83"/>
      <c r="AP21" s="83"/>
      <c r="AQ21" s="83"/>
      <c r="AR21" s="83"/>
      <c r="AS21" s="83"/>
      <c r="AT21" s="81"/>
    </row>
    <row r="22" spans="1:46" ht="12" customHeight="1" thickBot="1" x14ac:dyDescent="0.3">
      <c r="A22" s="146">
        <v>2</v>
      </c>
      <c r="B22" s="264"/>
      <c r="C22" s="265"/>
      <c r="D22" s="266"/>
      <c r="E22" s="267"/>
      <c r="F22" s="268"/>
      <c r="G22" s="269"/>
      <c r="H22" s="151"/>
      <c r="I22" s="152"/>
      <c r="J22" s="81"/>
      <c r="K22" s="79"/>
      <c r="L22" s="80" t="s">
        <v>28</v>
      </c>
      <c r="M22" s="80"/>
      <c r="N22" s="80"/>
      <c r="O22" s="80"/>
      <c r="P22" s="80"/>
      <c r="Q22" s="80"/>
      <c r="R22" s="179" t="s">
        <v>17</v>
      </c>
      <c r="S22" s="179"/>
      <c r="T22" s="179" t="s">
        <v>18</v>
      </c>
      <c r="U22" s="179"/>
      <c r="V22" s="81"/>
      <c r="W22" s="79"/>
      <c r="X22" s="84" t="s">
        <v>401</v>
      </c>
      <c r="Y22" s="83"/>
      <c r="Z22" s="83"/>
      <c r="AA22" s="83"/>
      <c r="AB22" s="83"/>
      <c r="AC22" s="83"/>
      <c r="AD22" s="182"/>
      <c r="AE22" s="183"/>
      <c r="AF22" s="182"/>
      <c r="AG22" s="183"/>
      <c r="AH22" s="81"/>
      <c r="AI22" s="79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1"/>
    </row>
    <row r="23" spans="1:46" ht="12" customHeight="1" thickBot="1" x14ac:dyDescent="0.3">
      <c r="A23" s="146">
        <v>3</v>
      </c>
      <c r="B23" s="270"/>
      <c r="C23" s="271"/>
      <c r="D23" s="272"/>
      <c r="E23" s="215"/>
      <c r="F23" s="216"/>
      <c r="G23" s="217"/>
      <c r="H23" s="153"/>
      <c r="I23" s="154"/>
      <c r="J23" s="81"/>
      <c r="K23" s="79"/>
      <c r="L23" s="89" t="s">
        <v>20</v>
      </c>
      <c r="M23" s="90"/>
      <c r="N23" s="90"/>
      <c r="O23" s="90"/>
      <c r="P23" s="90"/>
      <c r="Q23" s="90"/>
      <c r="R23" s="171"/>
      <c r="S23" s="172"/>
      <c r="T23" s="173"/>
      <c r="U23" s="172"/>
      <c r="V23" s="81"/>
      <c r="W23" s="79"/>
      <c r="X23" s="84" t="s">
        <v>402</v>
      </c>
      <c r="Y23" s="83"/>
      <c r="Z23" s="83"/>
      <c r="AA23" s="83"/>
      <c r="AB23" s="83"/>
      <c r="AC23" s="83"/>
      <c r="AD23" s="184"/>
      <c r="AE23" s="185"/>
      <c r="AF23" s="184"/>
      <c r="AG23" s="185"/>
      <c r="AH23" s="81"/>
      <c r="AI23" s="79"/>
      <c r="AJ23" s="163" t="s">
        <v>74</v>
      </c>
      <c r="AK23" s="163"/>
      <c r="AL23" s="163"/>
      <c r="AM23" s="163"/>
      <c r="AN23" s="163"/>
      <c r="AO23" s="163"/>
      <c r="AP23" s="164"/>
      <c r="AQ23" s="169">
        <f>IFERROR(MIN(9.99,IF(SUM(AO17:AR18)=0,"",IF(OR(H30="",H31=""),9.999,IFERROR(SUM('L1'!S5:S7)/IncExpSummary!M21,9.999)))),9.99)</f>
        <v>9.99</v>
      </c>
      <c r="AR23" s="170"/>
      <c r="AS23" s="83"/>
      <c r="AT23" s="81"/>
    </row>
    <row r="24" spans="1:46" ht="12" customHeight="1" thickBot="1" x14ac:dyDescent="0.3">
      <c r="A24" s="86"/>
      <c r="B24" s="87"/>
      <c r="C24" s="87"/>
      <c r="D24" s="87"/>
      <c r="E24" s="87"/>
      <c r="F24" s="87"/>
      <c r="G24" s="87"/>
      <c r="H24" s="87"/>
      <c r="I24" s="87"/>
      <c r="J24" s="88"/>
      <c r="K24" s="79"/>
      <c r="L24" s="84" t="s">
        <v>47</v>
      </c>
      <c r="M24" s="83"/>
      <c r="N24" s="83"/>
      <c r="O24" s="83"/>
      <c r="P24" s="83"/>
      <c r="Q24" s="83"/>
      <c r="R24" s="243"/>
      <c r="S24" s="244"/>
      <c r="T24" s="245"/>
      <c r="U24" s="244"/>
      <c r="V24" s="81"/>
      <c r="W24" s="79"/>
      <c r="X24" s="84" t="s">
        <v>403</v>
      </c>
      <c r="Y24" s="83"/>
      <c r="Z24" s="83"/>
      <c r="AA24" s="83"/>
      <c r="AB24" s="83"/>
      <c r="AC24" s="83"/>
      <c r="AD24" s="180"/>
      <c r="AE24" s="181"/>
      <c r="AF24" s="180"/>
      <c r="AG24" s="181"/>
      <c r="AH24" s="81"/>
      <c r="AI24" s="79"/>
      <c r="AJ24" s="163" t="s">
        <v>75</v>
      </c>
      <c r="AK24" s="163"/>
      <c r="AL24" s="163"/>
      <c r="AM24" s="163"/>
      <c r="AN24" s="163"/>
      <c r="AO24" s="163"/>
      <c r="AP24" s="164"/>
      <c r="AQ24" s="165" t="str">
        <f>IF(AQ23="","",IF(AND(AQ23&gt;0,AQ23&lt;=0.9),"PASS",IF(AND(AQ23&gt;0,AQ23&lt;=1),"REFER",IF(AQ23&gt;1,"FAIL",""))))</f>
        <v>FAIL</v>
      </c>
      <c r="AR24" s="166"/>
      <c r="AS24" s="83"/>
      <c r="AT24" s="81"/>
    </row>
    <row r="25" spans="1:46" ht="12" customHeight="1" thickBot="1" x14ac:dyDescent="0.3">
      <c r="A25" s="75"/>
      <c r="B25" s="76"/>
      <c r="C25" s="76"/>
      <c r="D25" s="76"/>
      <c r="E25" s="76"/>
      <c r="F25" s="76"/>
      <c r="G25" s="76"/>
      <c r="H25" s="76"/>
      <c r="I25" s="76"/>
      <c r="J25" s="77"/>
      <c r="K25" s="79"/>
      <c r="L25" s="89" t="s">
        <v>42</v>
      </c>
      <c r="M25" s="90"/>
      <c r="N25" s="90"/>
      <c r="O25" s="90"/>
      <c r="P25" s="90"/>
      <c r="Q25" s="90"/>
      <c r="R25" s="171"/>
      <c r="S25" s="172"/>
      <c r="T25" s="173"/>
      <c r="U25" s="172"/>
      <c r="V25" s="81"/>
      <c r="W25" s="86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8"/>
      <c r="AI25" s="79"/>
      <c r="AJ25" s="83"/>
      <c r="AK25" s="83"/>
      <c r="AL25" s="83"/>
      <c r="AM25" s="83"/>
      <c r="AN25" s="83"/>
      <c r="AO25" s="83"/>
      <c r="AP25" s="83"/>
      <c r="AQ25" s="157"/>
      <c r="AR25" s="157"/>
      <c r="AS25" s="83"/>
      <c r="AT25" s="81"/>
    </row>
    <row r="26" spans="1:46" ht="12" customHeight="1" thickBot="1" x14ac:dyDescent="0.3">
      <c r="A26" s="79"/>
      <c r="B26" s="82" t="s">
        <v>52</v>
      </c>
      <c r="C26" s="83"/>
      <c r="D26" s="83"/>
      <c r="E26" s="83"/>
      <c r="F26" s="83"/>
      <c r="G26" s="83"/>
      <c r="H26" s="83"/>
      <c r="I26" s="83"/>
      <c r="J26" s="81"/>
      <c r="K26" s="79"/>
      <c r="L26" s="84" t="s">
        <v>48</v>
      </c>
      <c r="M26" s="83"/>
      <c r="N26" s="83"/>
      <c r="O26" s="83"/>
      <c r="P26" s="83"/>
      <c r="Q26" s="83"/>
      <c r="R26" s="297"/>
      <c r="S26" s="298"/>
      <c r="T26" s="297"/>
      <c r="U26" s="298"/>
      <c r="V26" s="81"/>
      <c r="W26" s="75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7"/>
      <c r="AI26" s="79"/>
      <c r="AJ26" s="163" t="s">
        <v>404</v>
      </c>
      <c r="AK26" s="163"/>
      <c r="AL26" s="163"/>
      <c r="AM26" s="163"/>
      <c r="AN26" s="163"/>
      <c r="AO26" s="163"/>
      <c r="AP26" s="164"/>
      <c r="AQ26" s="289" t="str">
        <f>IFERROR(ROUND(SUM('L1'!M5:M7)/IncforLTI!F15,2),"")</f>
        <v/>
      </c>
      <c r="AR26" s="290"/>
      <c r="AS26" s="83"/>
      <c r="AT26" s="81"/>
    </row>
    <row r="27" spans="1:46" ht="12" customHeight="1" thickBot="1" x14ac:dyDescent="0.3">
      <c r="A27" s="79"/>
      <c r="B27" s="83"/>
      <c r="C27" s="83"/>
      <c r="D27" s="83"/>
      <c r="E27" s="83"/>
      <c r="F27" s="83"/>
      <c r="G27" s="83"/>
      <c r="H27" s="83"/>
      <c r="I27" s="83"/>
      <c r="J27" s="81"/>
      <c r="K27" s="79"/>
      <c r="L27" s="89" t="s">
        <v>43</v>
      </c>
      <c r="M27" s="90"/>
      <c r="N27" s="90"/>
      <c r="O27" s="90"/>
      <c r="P27" s="90"/>
      <c r="Q27" s="90"/>
      <c r="R27" s="171"/>
      <c r="S27" s="172"/>
      <c r="T27" s="173"/>
      <c r="U27" s="172"/>
      <c r="V27" s="81"/>
      <c r="W27" s="79"/>
      <c r="X27" s="82" t="s">
        <v>55</v>
      </c>
      <c r="Y27" s="83"/>
      <c r="Z27" s="83"/>
      <c r="AA27" s="83"/>
      <c r="AB27" s="83"/>
      <c r="AC27" s="83"/>
      <c r="AD27" s="83"/>
      <c r="AE27" s="83"/>
      <c r="AF27" s="83"/>
      <c r="AG27" s="83"/>
      <c r="AH27" s="81"/>
      <c r="AI27" s="79"/>
      <c r="AJ27" s="163" t="s">
        <v>406</v>
      </c>
      <c r="AK27" s="163"/>
      <c r="AL27" s="163"/>
      <c r="AM27" s="163"/>
      <c r="AN27" s="163"/>
      <c r="AO27" s="163"/>
      <c r="AP27" s="164"/>
      <c r="AQ27" s="289" t="str">
        <f>IFERROR(VLOOKUP(B11,M!AS7:AT14,2,0),"")</f>
        <v/>
      </c>
      <c r="AR27" s="290"/>
      <c r="AS27" s="83"/>
      <c r="AT27" s="81"/>
    </row>
    <row r="28" spans="1:46" ht="12" customHeight="1" thickBot="1" x14ac:dyDescent="0.3">
      <c r="A28" s="79"/>
      <c r="B28" s="80" t="s">
        <v>14</v>
      </c>
      <c r="C28" s="83"/>
      <c r="D28" s="83"/>
      <c r="E28" s="83"/>
      <c r="F28" s="83"/>
      <c r="G28" s="83"/>
      <c r="H28" s="83"/>
      <c r="I28" s="83"/>
      <c r="J28" s="81"/>
      <c r="K28" s="79"/>
      <c r="L28" s="84" t="s">
        <v>49</v>
      </c>
      <c r="M28" s="83"/>
      <c r="N28" s="83"/>
      <c r="O28" s="83"/>
      <c r="P28" s="83"/>
      <c r="Q28" s="83"/>
      <c r="R28" s="248"/>
      <c r="S28" s="249"/>
      <c r="T28" s="250"/>
      <c r="U28" s="249"/>
      <c r="V28" s="81"/>
      <c r="W28" s="79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1"/>
      <c r="AI28" s="79"/>
      <c r="AJ28" s="163" t="s">
        <v>405</v>
      </c>
      <c r="AK28" s="163"/>
      <c r="AL28" s="163"/>
      <c r="AM28" s="163"/>
      <c r="AN28" s="163"/>
      <c r="AO28" s="163"/>
      <c r="AP28" s="164"/>
      <c r="AQ28" s="165" t="str">
        <f>IF(AQ27="","",IF(AQ26&gt;AQ27,"FAIL","PASS"))</f>
        <v/>
      </c>
      <c r="AR28" s="166"/>
      <c r="AS28" s="83"/>
      <c r="AT28" s="81"/>
    </row>
    <row r="29" spans="1:46" ht="12" customHeight="1" thickBot="1" x14ac:dyDescent="0.3">
      <c r="A29" s="79"/>
      <c r="B29" s="83"/>
      <c r="C29" s="83"/>
      <c r="D29" s="83"/>
      <c r="E29" s="83"/>
      <c r="F29" s="83"/>
      <c r="G29" s="83"/>
      <c r="H29" s="83"/>
      <c r="I29" s="83"/>
      <c r="J29" s="81"/>
      <c r="K29" s="79"/>
      <c r="L29" s="83"/>
      <c r="M29" s="83"/>
      <c r="N29" s="83"/>
      <c r="O29" s="83"/>
      <c r="P29" s="83"/>
      <c r="Q29" s="83"/>
      <c r="R29" s="224"/>
      <c r="S29" s="224"/>
      <c r="T29" s="224"/>
      <c r="U29" s="224"/>
      <c r="V29" s="81"/>
      <c r="W29" s="79"/>
      <c r="X29" s="83"/>
      <c r="Y29" s="83"/>
      <c r="Z29" s="83"/>
      <c r="AA29" s="83"/>
      <c r="AB29" s="179" t="s">
        <v>56</v>
      </c>
      <c r="AC29" s="179"/>
      <c r="AD29" s="179"/>
      <c r="AE29" s="179" t="s">
        <v>57</v>
      </c>
      <c r="AF29" s="179"/>
      <c r="AG29" s="179"/>
      <c r="AH29" s="81"/>
      <c r="AI29" s="86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8"/>
    </row>
    <row r="30" spans="1:46" ht="12" customHeight="1" thickBot="1" x14ac:dyDescent="0.3">
      <c r="A30" s="79"/>
      <c r="B30" s="224" t="s">
        <v>37</v>
      </c>
      <c r="C30" s="224"/>
      <c r="D30" s="224"/>
      <c r="E30" s="224"/>
      <c r="F30" s="224"/>
      <c r="G30" s="224"/>
      <c r="H30" s="155"/>
      <c r="I30" s="83"/>
      <c r="J30" s="81"/>
      <c r="K30" s="79"/>
      <c r="L30" s="80" t="s">
        <v>29</v>
      </c>
      <c r="M30" s="80"/>
      <c r="N30" s="80"/>
      <c r="O30" s="80"/>
      <c r="P30" s="80"/>
      <c r="Q30" s="80"/>
      <c r="R30" s="179" t="s">
        <v>17</v>
      </c>
      <c r="S30" s="179"/>
      <c r="T30" s="179" t="s">
        <v>18</v>
      </c>
      <c r="U30" s="179"/>
      <c r="V30" s="81"/>
      <c r="W30" s="79"/>
      <c r="X30" s="174" t="s">
        <v>308</v>
      </c>
      <c r="Y30" s="174"/>
      <c r="Z30" s="174"/>
      <c r="AA30" s="174"/>
      <c r="AB30" s="160"/>
      <c r="AC30" s="176"/>
      <c r="AD30" s="176"/>
      <c r="AE30" s="177"/>
      <c r="AF30" s="177"/>
      <c r="AG30" s="178"/>
      <c r="AH30" s="81"/>
      <c r="AI30" s="275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7"/>
    </row>
    <row r="31" spans="1:46" ht="12" customHeight="1" thickBot="1" x14ac:dyDescent="0.3">
      <c r="A31" s="79"/>
      <c r="B31" s="224" t="s">
        <v>15</v>
      </c>
      <c r="C31" s="224"/>
      <c r="D31" s="224"/>
      <c r="E31" s="224"/>
      <c r="F31" s="224"/>
      <c r="G31" s="224"/>
      <c r="H31" s="156"/>
      <c r="I31" s="83"/>
      <c r="J31" s="81"/>
      <c r="K31" s="79"/>
      <c r="L31" s="84" t="s">
        <v>115</v>
      </c>
      <c r="M31" s="83"/>
      <c r="N31" s="83"/>
      <c r="O31" s="83"/>
      <c r="P31" s="83"/>
      <c r="Q31" s="83"/>
      <c r="R31" s="218"/>
      <c r="S31" s="219"/>
      <c r="T31" s="220"/>
      <c r="U31" s="219"/>
      <c r="V31" s="81"/>
      <c r="W31" s="79"/>
      <c r="X31" s="174" t="s">
        <v>59</v>
      </c>
      <c r="Y31" s="174"/>
      <c r="Z31" s="174"/>
      <c r="AA31" s="175"/>
      <c r="AB31" s="160"/>
      <c r="AC31" s="176"/>
      <c r="AD31" s="176"/>
      <c r="AE31" s="176"/>
      <c r="AF31" s="176"/>
      <c r="AG31" s="161"/>
      <c r="AH31" s="81"/>
      <c r="AI31" s="278" t="s">
        <v>409</v>
      </c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80"/>
    </row>
    <row r="32" spans="1:46" ht="12" customHeight="1" thickBot="1" x14ac:dyDescent="0.3">
      <c r="A32" s="79"/>
      <c r="B32" s="83"/>
      <c r="C32" s="83"/>
      <c r="D32" s="83"/>
      <c r="E32" s="83"/>
      <c r="F32" s="83"/>
      <c r="G32" s="83"/>
      <c r="H32" s="83"/>
      <c r="I32" s="83"/>
      <c r="J32" s="81"/>
      <c r="K32" s="79"/>
      <c r="L32" s="84" t="s">
        <v>116</v>
      </c>
      <c r="M32" s="83"/>
      <c r="N32" s="83"/>
      <c r="O32" s="83"/>
      <c r="P32" s="83"/>
      <c r="Q32" s="83"/>
      <c r="R32" s="167"/>
      <c r="S32" s="168"/>
      <c r="T32" s="167"/>
      <c r="U32" s="168"/>
      <c r="V32" s="81"/>
      <c r="W32" s="79"/>
      <c r="X32" s="174" t="s">
        <v>60</v>
      </c>
      <c r="Y32" s="174"/>
      <c r="Z32" s="174"/>
      <c r="AA32" s="175"/>
      <c r="AB32" s="160"/>
      <c r="AC32" s="176"/>
      <c r="AD32" s="176"/>
      <c r="AE32" s="177"/>
      <c r="AF32" s="177"/>
      <c r="AG32" s="178"/>
      <c r="AH32" s="81"/>
      <c r="AI32" s="281" t="s">
        <v>422</v>
      </c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3"/>
    </row>
    <row r="33" spans="1:46" ht="12" customHeight="1" thickBot="1" x14ac:dyDescent="0.3">
      <c r="A33" s="79"/>
      <c r="B33" s="80" t="s">
        <v>387</v>
      </c>
      <c r="C33" s="83"/>
      <c r="D33" s="83"/>
      <c r="E33" s="83"/>
      <c r="F33" s="83"/>
      <c r="G33" s="83"/>
      <c r="H33" s="83"/>
      <c r="I33" s="83"/>
      <c r="J33" s="81"/>
      <c r="K33" s="79"/>
      <c r="L33" s="84" t="s">
        <v>117</v>
      </c>
      <c r="M33" s="83"/>
      <c r="N33" s="83"/>
      <c r="O33" s="83"/>
      <c r="P33" s="83"/>
      <c r="Q33" s="83"/>
      <c r="R33" s="221"/>
      <c r="S33" s="222"/>
      <c r="T33" s="223"/>
      <c r="U33" s="222"/>
      <c r="V33" s="81"/>
      <c r="W33" s="79"/>
      <c r="X33" s="174" t="s">
        <v>33</v>
      </c>
      <c r="Y33" s="174"/>
      <c r="Z33" s="174"/>
      <c r="AA33" s="175"/>
      <c r="AB33" s="160"/>
      <c r="AC33" s="176"/>
      <c r="AD33" s="176"/>
      <c r="AE33" s="176"/>
      <c r="AF33" s="176"/>
      <c r="AG33" s="161"/>
      <c r="AH33" s="81"/>
      <c r="AI33" s="281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3"/>
    </row>
    <row r="34" spans="1:46" ht="12" customHeight="1" thickBot="1" x14ac:dyDescent="0.3">
      <c r="A34" s="79"/>
      <c r="B34" s="83"/>
      <c r="C34" s="83"/>
      <c r="D34" s="83"/>
      <c r="E34" s="83"/>
      <c r="F34" s="83"/>
      <c r="G34" s="83"/>
      <c r="H34" s="83"/>
      <c r="I34" s="83"/>
      <c r="J34" s="81"/>
      <c r="K34" s="79"/>
      <c r="L34" s="83"/>
      <c r="M34" s="83"/>
      <c r="N34" s="83"/>
      <c r="O34" s="83"/>
      <c r="P34" s="83"/>
      <c r="Q34" s="83"/>
      <c r="R34" s="224"/>
      <c r="S34" s="224"/>
      <c r="T34" s="224"/>
      <c r="U34" s="224"/>
      <c r="V34" s="81"/>
      <c r="W34" s="79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1"/>
      <c r="AI34" s="281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3"/>
    </row>
    <row r="35" spans="1:46" ht="12" customHeight="1" thickBot="1" x14ac:dyDescent="0.3">
      <c r="A35" s="79"/>
      <c r="B35" s="224" t="s">
        <v>37</v>
      </c>
      <c r="C35" s="224"/>
      <c r="D35" s="224"/>
      <c r="E35" s="224"/>
      <c r="F35" s="224"/>
      <c r="G35" s="224"/>
      <c r="H35" s="155"/>
      <c r="I35" s="83"/>
      <c r="J35" s="81"/>
      <c r="K35" s="79"/>
      <c r="L35" s="80" t="s">
        <v>30</v>
      </c>
      <c r="M35" s="80"/>
      <c r="N35" s="80"/>
      <c r="O35" s="80"/>
      <c r="P35" s="80"/>
      <c r="Q35" s="80"/>
      <c r="R35" s="179" t="s">
        <v>17</v>
      </c>
      <c r="S35" s="179"/>
      <c r="T35" s="179" t="s">
        <v>18</v>
      </c>
      <c r="U35" s="179"/>
      <c r="V35" s="81"/>
      <c r="W35" s="79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1"/>
      <c r="AI35" s="281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3"/>
    </row>
    <row r="36" spans="1:46" ht="12" customHeight="1" thickBot="1" x14ac:dyDescent="0.3">
      <c r="A36" s="79"/>
      <c r="B36" s="224" t="s">
        <v>15</v>
      </c>
      <c r="C36" s="224"/>
      <c r="D36" s="224"/>
      <c r="E36" s="224"/>
      <c r="F36" s="224"/>
      <c r="G36" s="224"/>
      <c r="H36" s="156"/>
      <c r="I36" s="83"/>
      <c r="J36" s="81"/>
      <c r="K36" s="79"/>
      <c r="L36" s="85" t="s">
        <v>364</v>
      </c>
      <c r="M36" s="83"/>
      <c r="N36" s="83"/>
      <c r="O36" s="83"/>
      <c r="P36" s="83"/>
      <c r="Q36" s="83"/>
      <c r="R36" s="225"/>
      <c r="S36" s="226"/>
      <c r="T36" s="227"/>
      <c r="U36" s="226"/>
      <c r="V36" s="81"/>
      <c r="W36" s="79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1"/>
      <c r="AI36" s="281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3"/>
    </row>
    <row r="37" spans="1:46" ht="12" customHeight="1" thickBot="1" x14ac:dyDescent="0.3">
      <c r="A37" s="79"/>
      <c r="B37" s="133"/>
      <c r="C37" s="133"/>
      <c r="D37" s="133"/>
      <c r="E37" s="133"/>
      <c r="F37" s="133"/>
      <c r="G37" s="133"/>
      <c r="H37" s="133"/>
      <c r="I37" s="133"/>
      <c r="J37" s="81"/>
      <c r="K37" s="79"/>
      <c r="L37" s="85" t="s">
        <v>365</v>
      </c>
      <c r="M37" s="83"/>
      <c r="N37" s="83"/>
      <c r="O37" s="83"/>
      <c r="P37" s="83"/>
      <c r="Q37" s="83"/>
      <c r="R37" s="225"/>
      <c r="S37" s="226"/>
      <c r="T37" s="227"/>
      <c r="U37" s="226"/>
      <c r="V37" s="81"/>
      <c r="W37" s="79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1"/>
      <c r="AI37" s="281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3"/>
    </row>
    <row r="38" spans="1:46" ht="24.75" customHeight="1" thickBot="1" x14ac:dyDescent="0.3">
      <c r="A38" s="86"/>
      <c r="B38" s="87"/>
      <c r="C38" s="87"/>
      <c r="D38" s="87"/>
      <c r="E38" s="87"/>
      <c r="F38" s="87"/>
      <c r="G38" s="87"/>
      <c r="H38" s="87"/>
      <c r="I38" s="87"/>
      <c r="J38" s="88"/>
      <c r="K38" s="86"/>
      <c r="L38" s="87"/>
      <c r="M38" s="87"/>
      <c r="N38" s="87"/>
      <c r="O38" s="87"/>
      <c r="P38" s="87"/>
      <c r="Q38" s="87"/>
      <c r="R38" s="159"/>
      <c r="S38" s="159"/>
      <c r="T38" s="159"/>
      <c r="U38" s="159"/>
      <c r="V38" s="88"/>
      <c r="W38" s="86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8"/>
      <c r="AI38" s="284"/>
      <c r="AJ38" s="285"/>
      <c r="AK38" s="285"/>
      <c r="AL38" s="285"/>
      <c r="AM38" s="285"/>
      <c r="AN38" s="285"/>
      <c r="AO38" s="285"/>
      <c r="AP38" s="285"/>
      <c r="AQ38" s="285"/>
      <c r="AR38" s="285"/>
      <c r="AS38" s="285"/>
      <c r="AT38" s="286"/>
    </row>
  </sheetData>
  <sheetProtection algorithmName="SHA-512" hashValue="xrnuljMvlF3KZbRrvZbsFWZk4lUV4lZORJWDHech7LpfAFHYazdaH0M7JTL+8TmoY5ykCnSUGB5IA8LaTUNDNA==" saltValue="INEPqPVVRcZTBfWR4w8zvQ==" spinCount="100000" sheet="1" selectLockedCells="1"/>
  <mergeCells count="164">
    <mergeCell ref="I1:O2"/>
    <mergeCell ref="AI30:AT30"/>
    <mergeCell ref="AI31:AT31"/>
    <mergeCell ref="AI32:AT38"/>
    <mergeCell ref="P1:AN2"/>
    <mergeCell ref="AQ26:AR26"/>
    <mergeCell ref="AQ27:AR27"/>
    <mergeCell ref="AJ26:AP26"/>
    <mergeCell ref="AJ27:AP27"/>
    <mergeCell ref="R19:S19"/>
    <mergeCell ref="T19:U19"/>
    <mergeCell ref="R20:S20"/>
    <mergeCell ref="T20:U20"/>
    <mergeCell ref="R21:S21"/>
    <mergeCell ref="T21:U21"/>
    <mergeCell ref="R26:S26"/>
    <mergeCell ref="T26:U26"/>
    <mergeCell ref="R27:S27"/>
    <mergeCell ref="T27:U27"/>
    <mergeCell ref="R22:S22"/>
    <mergeCell ref="T22:U22"/>
    <mergeCell ref="AF23:AG23"/>
    <mergeCell ref="AF24:AG24"/>
    <mergeCell ref="AF22:AG22"/>
    <mergeCell ref="AF21:AG21"/>
    <mergeCell ref="B35:G35"/>
    <mergeCell ref="B36:G36"/>
    <mergeCell ref="B21:D21"/>
    <mergeCell ref="E21:G21"/>
    <mergeCell ref="B22:D22"/>
    <mergeCell ref="E22:G22"/>
    <mergeCell ref="B23:D23"/>
    <mergeCell ref="E23:G23"/>
    <mergeCell ref="AD24:AE24"/>
    <mergeCell ref="AD22:AE22"/>
    <mergeCell ref="AD21:AE21"/>
    <mergeCell ref="AD23:AE23"/>
    <mergeCell ref="AB33:AD33"/>
    <mergeCell ref="AE33:AG33"/>
    <mergeCell ref="X33:AA33"/>
    <mergeCell ref="AE31:AG31"/>
    <mergeCell ref="B16:E16"/>
    <mergeCell ref="H19:I19"/>
    <mergeCell ref="E20:G20"/>
    <mergeCell ref="B20:D20"/>
    <mergeCell ref="P13:R13"/>
    <mergeCell ref="S13:U13"/>
    <mergeCell ref="L8:R8"/>
    <mergeCell ref="B11:I11"/>
    <mergeCell ref="B9:I9"/>
    <mergeCell ref="A3:J5"/>
    <mergeCell ref="B6:I7"/>
    <mergeCell ref="B30:G30"/>
    <mergeCell ref="B31:G31"/>
    <mergeCell ref="L6:R6"/>
    <mergeCell ref="L7:R7"/>
    <mergeCell ref="T17:U17"/>
    <mergeCell ref="R18:S18"/>
    <mergeCell ref="L9:R9"/>
    <mergeCell ref="P14:R14"/>
    <mergeCell ref="R17:S17"/>
    <mergeCell ref="T23:U23"/>
    <mergeCell ref="R24:S24"/>
    <mergeCell ref="T24:U24"/>
    <mergeCell ref="R23:S23"/>
    <mergeCell ref="T18:U18"/>
    <mergeCell ref="S14:U14"/>
    <mergeCell ref="R28:S28"/>
    <mergeCell ref="T28:U28"/>
    <mergeCell ref="R29:S29"/>
    <mergeCell ref="T29:U29"/>
    <mergeCell ref="R30:S30"/>
    <mergeCell ref="T30:U30"/>
    <mergeCell ref="G16:I16"/>
    <mergeCell ref="R38:S38"/>
    <mergeCell ref="T38:U38"/>
    <mergeCell ref="R31:S31"/>
    <mergeCell ref="T31:U31"/>
    <mergeCell ref="R33:S33"/>
    <mergeCell ref="T33:U33"/>
    <mergeCell ref="R34:S34"/>
    <mergeCell ref="T34:U34"/>
    <mergeCell ref="R37:S37"/>
    <mergeCell ref="T37:U37"/>
    <mergeCell ref="R35:S35"/>
    <mergeCell ref="T35:U35"/>
    <mergeCell ref="R36:S36"/>
    <mergeCell ref="T36:U36"/>
    <mergeCell ref="AD7:AE7"/>
    <mergeCell ref="AF7:AG7"/>
    <mergeCell ref="AD8:AE8"/>
    <mergeCell ref="AF8:AG8"/>
    <mergeCell ref="AD9:AE9"/>
    <mergeCell ref="AF9:AG9"/>
    <mergeCell ref="S6:U6"/>
    <mergeCell ref="S7:U7"/>
    <mergeCell ref="AD4:AE4"/>
    <mergeCell ref="AF4:AG4"/>
    <mergeCell ref="AF5:AG5"/>
    <mergeCell ref="AD5:AE5"/>
    <mergeCell ref="AD6:AE6"/>
    <mergeCell ref="AF6:AG6"/>
    <mergeCell ref="S8:U8"/>
    <mergeCell ref="S9:U9"/>
    <mergeCell ref="AD14:AE14"/>
    <mergeCell ref="AF14:AG14"/>
    <mergeCell ref="AD16:AE16"/>
    <mergeCell ref="AF16:AG16"/>
    <mergeCell ref="AD17:AE17"/>
    <mergeCell ref="AF17:AG17"/>
    <mergeCell ref="AD10:AE10"/>
    <mergeCell ref="AF10:AG10"/>
    <mergeCell ref="AD11:AE11"/>
    <mergeCell ref="AF11:AG11"/>
    <mergeCell ref="AD12:AE12"/>
    <mergeCell ref="AF12:AG12"/>
    <mergeCell ref="AD18:AE18"/>
    <mergeCell ref="AF18:AG18"/>
    <mergeCell ref="AD19:AE19"/>
    <mergeCell ref="AF19:AG19"/>
    <mergeCell ref="AD20:AE20"/>
    <mergeCell ref="AF20:AG20"/>
    <mergeCell ref="AQ6:AR6"/>
    <mergeCell ref="AJ6:AO6"/>
    <mergeCell ref="AJ7:AO7"/>
    <mergeCell ref="AQ7:AR7"/>
    <mergeCell ref="AJ8:AO8"/>
    <mergeCell ref="AQ8:AR8"/>
    <mergeCell ref="AD15:AE15"/>
    <mergeCell ref="AF15:AG15"/>
    <mergeCell ref="AO18:AP18"/>
    <mergeCell ref="AQ18:AR18"/>
    <mergeCell ref="AJ17:AN17"/>
    <mergeCell ref="AJ18:AN18"/>
    <mergeCell ref="AJ9:AO9"/>
    <mergeCell ref="AQ9:AR9"/>
    <mergeCell ref="AJ11:AO11"/>
    <mergeCell ref="AQ11:AR11"/>
    <mergeCell ref="AQ17:AR17"/>
    <mergeCell ref="AO17:AP17"/>
    <mergeCell ref="AO16:AP16"/>
    <mergeCell ref="AQ16:AR16"/>
    <mergeCell ref="AQ10:AR10"/>
    <mergeCell ref="AJ15:AR15"/>
    <mergeCell ref="AJ24:AP24"/>
    <mergeCell ref="AQ24:AR24"/>
    <mergeCell ref="R32:S32"/>
    <mergeCell ref="T32:U32"/>
    <mergeCell ref="AJ23:AP23"/>
    <mergeCell ref="AQ23:AR23"/>
    <mergeCell ref="R25:S25"/>
    <mergeCell ref="T25:U25"/>
    <mergeCell ref="AJ28:AP28"/>
    <mergeCell ref="AQ28:AR28"/>
    <mergeCell ref="X32:AA32"/>
    <mergeCell ref="AB32:AD32"/>
    <mergeCell ref="AE32:AG32"/>
    <mergeCell ref="AE29:AG29"/>
    <mergeCell ref="AB29:AD29"/>
    <mergeCell ref="AB30:AD30"/>
    <mergeCell ref="AE30:AG30"/>
    <mergeCell ref="X30:AA30"/>
    <mergeCell ref="X31:AA31"/>
    <mergeCell ref="AB31:AD31"/>
  </mergeCells>
  <conditionalFormatting sqref="AQ24:AR24">
    <cfRule type="cellIs" dxfId="18" priority="6" operator="equal">
      <formula>"REFER"</formula>
    </cfRule>
    <cfRule type="cellIs" dxfId="17" priority="26" operator="equal">
      <formula>"Fail"</formula>
    </cfRule>
    <cfRule type="cellIs" dxfId="16" priority="27" operator="equal">
      <formula>"Pass"</formula>
    </cfRule>
  </conditionalFormatting>
  <conditionalFormatting sqref="H30:H31">
    <cfRule type="containsBlanks" dxfId="15" priority="18">
      <formula>LEN(TRIM(H30))=0</formula>
    </cfRule>
  </conditionalFormatting>
  <conditionalFormatting sqref="H36">
    <cfRule type="expression" dxfId="14" priority="16">
      <formula>AND($H$35&lt;&gt;"",$H$36="")</formula>
    </cfRule>
  </conditionalFormatting>
  <conditionalFormatting sqref="AE31:AG31">
    <cfRule type="expression" dxfId="13" priority="15">
      <formula>$AB$31&lt;&gt;""</formula>
    </cfRule>
  </conditionalFormatting>
  <conditionalFormatting sqref="AE33:AG33">
    <cfRule type="expression" dxfId="12" priority="14">
      <formula>$AB$33&lt;&gt;""</formula>
    </cfRule>
  </conditionalFormatting>
  <conditionalFormatting sqref="B21:I21">
    <cfRule type="containsBlanks" dxfId="11" priority="13">
      <formula>LEN(TRIM(B21))=0</formula>
    </cfRule>
  </conditionalFormatting>
  <conditionalFormatting sqref="B11:I11 G16:I16">
    <cfRule type="containsBlanks" dxfId="10" priority="12">
      <formula>LEN(TRIM(B11))=0</formula>
    </cfRule>
  </conditionalFormatting>
  <conditionalFormatting sqref="P14:R14">
    <cfRule type="expression" dxfId="9" priority="9">
      <formula>AND($H$30&lt;&gt;"",$P$14="")</formula>
    </cfRule>
  </conditionalFormatting>
  <conditionalFormatting sqref="S14:U14">
    <cfRule type="expression" dxfId="8" priority="8">
      <formula>AND($H$30&gt;1,$S$14="")</formula>
    </cfRule>
  </conditionalFormatting>
  <conditionalFormatting sqref="AQ28:AR28">
    <cfRule type="cellIs" dxfId="7" priority="3" operator="equal">
      <formula>"REFER"</formula>
    </cfRule>
    <cfRule type="cellIs" dxfId="6" priority="4" operator="equal">
      <formula>"Fail"</formula>
    </cfRule>
    <cfRule type="cellIs" dxfId="5" priority="5" operator="equal">
      <formula>"Pass"</formula>
    </cfRule>
  </conditionalFormatting>
  <dataValidations count="2">
    <dataValidation type="whole" allowBlank="1" showInputMessage="1" showErrorMessage="1" sqref="S7:U7" xr:uid="{2D99C338-64DF-49AD-B7DF-0D291FC61C8C}">
      <formula1>18</formula1>
      <formula2>100</formula2>
    </dataValidation>
    <dataValidation type="whole" errorStyle="warning" allowBlank="1" showInputMessage="1" showErrorMessage="1" errorTitle="Check Applicant Age" error="Check that the applicant age input is correct._x000a__x000a_Age is only required for Older Borrower applications." sqref="S6:U6" xr:uid="{B350D1BD-3892-4FC8-8F10-7671F4948E80}">
      <formula1>50</formula1>
      <formula2>80</formula2>
    </dataValidation>
  </dataValidations>
  <pageMargins left="0.7" right="0.7" top="0.75" bottom="0.75" header="0.3" footer="0.3"/>
  <pageSetup paperSize="9" scale="4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3" id="{D40E8A21-830A-48B2-8F1E-9D073AC9D606}">
            <xm:f>$B$11&lt;&gt;Lists!$A$6</xm:f>
            <x14:dxf>
              <fill>
                <patternFill patternType="lightGrid"/>
              </fill>
            </x14:dxf>
          </x14:cfRule>
          <xm:sqref>AQ10:AR10</xm:sqref>
        </x14:conditionalFormatting>
        <x14:conditionalFormatting xmlns:xm="http://schemas.microsoft.com/office/excel/2006/main">
          <x14:cfRule type="expression" priority="32" id="{8184D04F-12DF-4B1C-9CF3-1B45AA0E7555}">
            <xm:f>$B$11=Lists!$A$8</xm:f>
            <x14:dxf>
              <fill>
                <patternFill>
                  <bgColor rgb="FFFFFF00"/>
                </patternFill>
              </fill>
            </x14:dxf>
          </x14:cfRule>
          <x14:cfRule type="expression" priority="1" id="{7F364A22-CE9E-4CC8-9D70-6DE3B7911E49}">
            <xm:f>$B$11=Lists!$A$9</xm:f>
            <x14:dxf>
              <fill>
                <patternFill>
                  <bgColor rgb="FFFFFF00"/>
                </patternFill>
              </fill>
            </x14:dxf>
          </x14:cfRule>
          <xm:sqref>AQ17:AR18</xm:sqref>
        </x14:conditionalFormatting>
        <x14:conditionalFormatting xmlns:xm="http://schemas.microsoft.com/office/excel/2006/main">
          <x14:cfRule type="expression" priority="7" id="{5C1A1693-BC1D-44E1-AEA0-D5BA15A77BF7}">
            <xm:f>$B$11=Lists!$A$8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14:cfRule type="expression" priority="2" id="{DC43F73B-04A1-4C75-A2DD-5B1619FB9CDF}">
            <xm:f>$B$11=Lists!$A$9</xm:f>
            <x14:dxf>
              <fill>
                <patternFill patternType="lightGrid">
                  <fgColor theme="1" tint="4.9989318521683403E-2"/>
                </patternFill>
              </fill>
            </x14:dxf>
          </x14:cfRule>
          <xm:sqref>AO17:AP18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E8115277-3766-487C-9098-A418C4657D86}">
          <x14:formula1>
            <xm:f>Lists!$A$1:$A$10</xm:f>
          </x14:formula1>
          <xm:sqref>B11:I11</xm:sqref>
        </x14:dataValidation>
        <x14:dataValidation type="list" allowBlank="1" showInputMessage="1" showErrorMessage="1" xr:uid="{5E2778C2-DCBA-4378-8371-6A8C43676F19}">
          <x14:formula1>
            <xm:f>Lists!$E$2:$E$36</xm:f>
          </x14:formula1>
          <xm:sqref>H21:H23</xm:sqref>
        </x14:dataValidation>
        <x14:dataValidation type="list" allowBlank="1" showInputMessage="1" showErrorMessage="1" xr:uid="{F150622D-B8F3-4292-BBD9-F99E8B8EBFE7}">
          <x14:formula1>
            <xm:f>Lists!$F$2:$F$13</xm:f>
          </x14:formula1>
          <xm:sqref>I21:I23</xm:sqref>
        </x14:dataValidation>
        <x14:dataValidation type="list" allowBlank="1" showInputMessage="1" showErrorMessage="1" xr:uid="{C22AC587-AA12-400F-88CC-4013AF0EBA45}">
          <x14:formula1>
            <xm:f>Lists!$D$1:$D$3</xm:f>
          </x14:formula1>
          <xm:sqref>E21:G23</xm:sqref>
        </x14:dataValidation>
        <x14:dataValidation type="list" allowBlank="1" showInputMessage="1" showErrorMessage="1" xr:uid="{2E818922-9684-442A-91C9-118376A7725B}">
          <x14:formula1>
            <xm:f>Lists!$G$2:$G$4</xm:f>
          </x14:formula1>
          <xm:sqref>H30 H35</xm:sqref>
        </x14:dataValidation>
        <x14:dataValidation type="list" allowBlank="1" showInputMessage="1" showErrorMessage="1" xr:uid="{0AA3DD93-4648-49E4-85D6-24686DB244E3}">
          <x14:formula1>
            <xm:f>Lists!$H$1:$H$5</xm:f>
          </x14:formula1>
          <xm:sqref>H31 H36</xm:sqref>
        </x14:dataValidation>
        <x14:dataValidation type="list" allowBlank="1" showInputMessage="1" showErrorMessage="1" xr:uid="{A6EE682F-F1D9-4686-BBCA-E4D3C16E04B9}">
          <x14:formula1>
            <xm:f>Lists!$J$1:$J$6</xm:f>
          </x14:formula1>
          <xm:sqref>P14:U14</xm:sqref>
        </x14:dataValidation>
        <x14:dataValidation type="list" allowBlank="1" showInputMessage="1" showErrorMessage="1" xr:uid="{32FD6A4B-A233-4526-9C2C-A69CEF19267E}">
          <x14:formula1>
            <xm:f>Lists!$K$1:$K$4</xm:f>
          </x14:formula1>
          <xm:sqref>R23:U23 R25:U25 R27:U27</xm:sqref>
        </x14:dataValidation>
        <x14:dataValidation type="list" allowBlank="1" showInputMessage="1" showErrorMessage="1" xr:uid="{5E19D626-BF21-4F8E-A24D-DDF587C2E4DD}">
          <x14:formula1>
            <xm:f>Lists!$I$2:$I$12</xm:f>
          </x14:formula1>
          <xm:sqref>S8:U9</xm:sqref>
        </x14:dataValidation>
        <x14:dataValidation type="list" allowBlank="1" showInputMessage="1" showErrorMessage="1" xr:uid="{FDF80CB2-8A97-4B19-9CB5-E597331B4AD7}">
          <x14:formula1>
            <xm:f>Lists!$L$1:$L$3</xm:f>
          </x14:formula1>
          <xm:sqref>AD5:AG5</xm:sqref>
        </x14:dataValidation>
        <x14:dataValidation type="whole" errorStyle="warning" allowBlank="1" showErrorMessage="1" errorTitle="Check Property Value" error="The property value entered is either very low (&lt;£50k) or very high (&gt;£1m)" xr:uid="{46173BFF-447E-4C78-B6D0-B8DE32F287B0}">
          <x14:formula1>
            <xm:f>Lists!B2</xm:f>
          </x14:formula1>
          <x14:formula2>
            <xm:f>Lists!B3</xm:f>
          </x14:formula2>
          <xm:sqref>G16:I16</xm:sqref>
        </x14:dataValidation>
        <x14:dataValidation type="whole" errorStyle="warning" allowBlank="1" showInputMessage="1" showErrorMessage="1" errorTitle="Issue With Loan Amount" error="The Loan Amount must be between  £X and £X" xr:uid="{7E276D5C-662E-46A0-86D5-2DA25D0C2544}">
          <x14:formula1>
            <xm:f>Lists!C2</xm:f>
          </x14:formula1>
          <x14:formula2>
            <xm:f>Lists!C3</xm:f>
          </x14:formula2>
          <xm:sqref>B21:B23</xm:sqref>
        </x14:dataValidation>
        <x14:dataValidation type="whole" errorStyle="warning" allowBlank="1" showInputMessage="1" showErrorMessage="1" errorTitle="Issue With Loan Amount" error="The Loan Amount must be between  £X and £X" xr:uid="{D1F54E30-03FA-4B91-86D7-BF443A14D8F8}">
          <x14:formula1>
            <xm:f>Lists!E2</xm:f>
          </x14:formula1>
          <x14:formula2>
            <xm:f>Lists!E3</xm:f>
          </x14:formula2>
          <xm:sqref>C21:D23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7D147-E199-418A-A2E7-0014B8F0F6AC}">
  <sheetPr codeName="Sheet9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152</v>
      </c>
      <c r="H4" s="49" t="s">
        <v>149</v>
      </c>
      <c r="N4" s="49" t="s">
        <v>150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147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276</v>
      </c>
      <c r="E8" s="45">
        <f>TaxSSGsy!O20</f>
        <v>0</v>
      </c>
      <c r="F8" s="45">
        <f>TaxSSGsy!P20</f>
        <v>0</v>
      </c>
      <c r="H8" s="14" t="str">
        <f>B8</f>
        <v>Tax &amp; SS Payable</v>
      </c>
      <c r="K8" s="45">
        <f>E8/12</f>
        <v>0</v>
      </c>
      <c r="L8" s="45">
        <f>F8/12</f>
        <v>0</v>
      </c>
      <c r="N8" s="14" t="str">
        <f>H8</f>
        <v>Tax &amp; SS Payable</v>
      </c>
      <c r="Q8" s="45">
        <f>E8/52</f>
        <v>0</v>
      </c>
      <c r="R8" s="45">
        <f>F8/52</f>
        <v>0</v>
      </c>
    </row>
    <row r="10" spans="2:18" s="15" customFormat="1" x14ac:dyDescent="0.25">
      <c r="B10" s="15" t="s">
        <v>179</v>
      </c>
      <c r="E10" s="48">
        <f>E8</f>
        <v>0</v>
      </c>
      <c r="F10" s="48">
        <f>F8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180</v>
      </c>
      <c r="E12" s="50">
        <f>E6-E10</f>
        <v>0</v>
      </c>
      <c r="F12" s="50">
        <f>F6-F10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151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181</v>
      </c>
      <c r="E16" s="51">
        <f>E6+E14</f>
        <v>0</v>
      </c>
      <c r="F16" s="51">
        <f>F6+F14</f>
        <v>0</v>
      </c>
      <c r="H16" s="42" t="s">
        <v>181</v>
      </c>
      <c r="K16" s="51">
        <f>E16/12</f>
        <v>0</v>
      </c>
      <c r="L16" s="51">
        <f>F16/12</f>
        <v>0</v>
      </c>
      <c r="N16" s="42" t="s">
        <v>181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182</v>
      </c>
      <c r="E17" s="51">
        <f>E12+E14</f>
        <v>0</v>
      </c>
      <c r="F17" s="51">
        <f>F12+F14</f>
        <v>0</v>
      </c>
      <c r="H17" s="42" t="s">
        <v>182</v>
      </c>
      <c r="K17" s="51">
        <f>E17/12</f>
        <v>0</v>
      </c>
      <c r="L17" s="51">
        <f>F17/12</f>
        <v>0</v>
      </c>
      <c r="N17" s="42" t="s">
        <v>182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28D64-790F-42BE-BDA8-9AF481F96D7D}">
  <sheetPr codeName="Sheet10"/>
  <dimension ref="A1:AN26"/>
  <sheetViews>
    <sheetView workbookViewId="0">
      <selection activeCell="Y4" sqref="Y4"/>
    </sheetView>
  </sheetViews>
  <sheetFormatPr defaultColWidth="8.85546875" defaultRowHeight="15" x14ac:dyDescent="0.25"/>
  <cols>
    <col min="1" max="1" width="3.7109375" style="14" customWidth="1"/>
    <col min="2" max="7" width="8.85546875" style="14"/>
    <col min="8" max="9" width="3.7109375" style="14" customWidth="1"/>
    <col min="10" max="12" width="8.85546875" style="14"/>
    <col min="13" max="13" width="10" style="14" bestFit="1" customWidth="1"/>
    <col min="14" max="15" width="3.7109375" style="14" customWidth="1"/>
    <col min="16" max="19" width="8.85546875" style="14"/>
    <col min="20" max="21" width="3.7109375" style="14" customWidth="1"/>
    <col min="22" max="25" width="8.85546875" style="14"/>
    <col min="26" max="27" width="3.7109375" style="14" customWidth="1"/>
    <col min="28" max="32" width="8.85546875" style="14"/>
    <col min="33" max="34" width="3.7109375" style="14" customWidth="1"/>
    <col min="35" max="39" width="8.85546875" style="14"/>
    <col min="40" max="40" width="3.7109375" style="14" customWidth="1"/>
    <col min="41" max="16384" width="8.85546875" style="14"/>
  </cols>
  <sheetData>
    <row r="1" spans="1:40" x14ac:dyDescent="0.25">
      <c r="A1" s="1"/>
      <c r="B1" s="2"/>
      <c r="C1" s="2"/>
      <c r="D1" s="2"/>
      <c r="E1" s="2"/>
      <c r="F1" s="2"/>
      <c r="G1" s="2"/>
      <c r="H1" s="3"/>
      <c r="I1" s="1"/>
      <c r="J1" s="2"/>
      <c r="K1" s="2"/>
      <c r="L1" s="2"/>
      <c r="M1" s="2"/>
      <c r="N1" s="3"/>
      <c r="O1" s="1"/>
      <c r="P1" s="2"/>
      <c r="Q1" s="2"/>
      <c r="R1" s="2"/>
      <c r="S1" s="2"/>
      <c r="T1" s="3"/>
      <c r="U1" s="1"/>
      <c r="V1" s="2"/>
      <c r="W1" s="2"/>
      <c r="X1" s="2"/>
      <c r="Y1" s="2"/>
      <c r="Z1" s="3"/>
      <c r="AA1" s="1"/>
      <c r="AB1" s="2"/>
      <c r="AC1" s="2"/>
      <c r="AD1" s="2"/>
      <c r="AE1" s="2"/>
      <c r="AF1" s="2"/>
      <c r="AG1" s="3"/>
      <c r="AH1" s="1"/>
      <c r="AI1" s="2"/>
      <c r="AJ1" s="2"/>
      <c r="AK1" s="2"/>
      <c r="AL1" s="2"/>
      <c r="AM1" s="2"/>
      <c r="AN1" s="3"/>
    </row>
    <row r="2" spans="1:40" s="34" customFormat="1" ht="18.75" x14ac:dyDescent="0.3">
      <c r="A2" s="91"/>
      <c r="B2" s="102" t="s">
        <v>212</v>
      </c>
      <c r="C2" s="103"/>
      <c r="D2" s="103"/>
      <c r="E2" s="103"/>
      <c r="F2" s="103"/>
      <c r="G2" s="103"/>
      <c r="H2" s="92"/>
      <c r="I2" s="91"/>
      <c r="J2" s="104" t="s">
        <v>256</v>
      </c>
      <c r="K2" s="105"/>
      <c r="L2" s="105"/>
      <c r="M2" s="105"/>
      <c r="N2" s="92"/>
      <c r="O2" s="91"/>
      <c r="P2" s="102" t="s">
        <v>268</v>
      </c>
      <c r="Q2" s="103"/>
      <c r="R2" s="103"/>
      <c r="S2" s="103"/>
      <c r="T2" s="92"/>
      <c r="U2" s="91"/>
      <c r="V2" s="104" t="s">
        <v>267</v>
      </c>
      <c r="W2" s="105"/>
      <c r="X2" s="105"/>
      <c r="Y2" s="105"/>
      <c r="Z2" s="92"/>
      <c r="AA2" s="91"/>
      <c r="AB2" s="102" t="s">
        <v>291</v>
      </c>
      <c r="AC2" s="103"/>
      <c r="AD2" s="103"/>
      <c r="AE2" s="103"/>
      <c r="AF2" s="103"/>
      <c r="AG2" s="92"/>
      <c r="AH2" s="91"/>
      <c r="AI2" s="104" t="s">
        <v>341</v>
      </c>
      <c r="AJ2" s="105"/>
      <c r="AK2" s="105"/>
      <c r="AL2" s="105"/>
      <c r="AM2" s="105"/>
      <c r="AN2" s="92"/>
    </row>
    <row r="3" spans="1:40" x14ac:dyDescent="0.25">
      <c r="A3" s="4"/>
      <c r="B3" s="7"/>
      <c r="C3" s="7"/>
      <c r="D3" s="7"/>
      <c r="E3" s="12" t="s">
        <v>17</v>
      </c>
      <c r="F3" s="12" t="s">
        <v>18</v>
      </c>
      <c r="G3" s="12" t="s">
        <v>148</v>
      </c>
      <c r="H3" s="93"/>
      <c r="I3" s="4"/>
      <c r="J3" s="7"/>
      <c r="K3" s="7"/>
      <c r="L3" s="7"/>
      <c r="M3" s="7"/>
      <c r="N3" s="5"/>
      <c r="O3" s="4"/>
      <c r="P3" s="7"/>
      <c r="Q3" s="7"/>
      <c r="R3" s="7"/>
      <c r="S3" s="7"/>
      <c r="T3" s="5"/>
      <c r="U3" s="4"/>
      <c r="V3" s="7"/>
      <c r="W3" s="7"/>
      <c r="X3" s="7"/>
      <c r="Y3" s="7"/>
      <c r="Z3" s="5"/>
      <c r="AA3" s="4"/>
      <c r="AB3" s="7"/>
      <c r="AC3" s="7"/>
      <c r="AD3" s="7"/>
      <c r="AE3" s="7"/>
      <c r="AF3" s="7"/>
      <c r="AG3" s="5"/>
      <c r="AH3" s="4"/>
      <c r="AI3" s="7"/>
      <c r="AJ3" s="7"/>
      <c r="AK3" s="7"/>
      <c r="AL3" s="7"/>
      <c r="AM3" s="7"/>
      <c r="AN3" s="5"/>
    </row>
    <row r="4" spans="1:40" x14ac:dyDescent="0.25">
      <c r="A4" s="4"/>
      <c r="B4" s="7" t="s">
        <v>213</v>
      </c>
      <c r="C4" s="7"/>
      <c r="D4" s="7"/>
      <c r="E4" s="45">
        <f>IncSumGsy!Q6</f>
        <v>0</v>
      </c>
      <c r="F4" s="45">
        <f>IncSumGsy!R6</f>
        <v>0</v>
      </c>
      <c r="G4" s="45">
        <f>SUM(E4:F4)</f>
        <v>0</v>
      </c>
      <c r="H4" s="94"/>
      <c r="I4" s="4"/>
      <c r="J4" s="321" t="s">
        <v>5</v>
      </c>
      <c r="K4" s="321"/>
      <c r="L4" s="321"/>
      <c r="M4" s="13" t="str">
        <f>IF(Input!G16="","",Input!G16)</f>
        <v/>
      </c>
      <c r="N4" s="5"/>
      <c r="O4" s="4"/>
      <c r="P4" s="321" t="s">
        <v>214</v>
      </c>
      <c r="Q4" s="321"/>
      <c r="R4" s="323"/>
      <c r="S4" s="55" t="str">
        <f>IF(OR(Input!B11=Lists!A4,Input!B11=Lists!A5),"Older","Standard")</f>
        <v>Standard</v>
      </c>
      <c r="T4" s="95"/>
      <c r="U4" s="4"/>
      <c r="V4" s="321" t="s">
        <v>294</v>
      </c>
      <c r="W4" s="321"/>
      <c r="X4" s="323"/>
      <c r="Y4" s="13">
        <f>IF(OR(Input!B11=Lists!A4,Input!B11=Lists!A5),1,0)</f>
        <v>0</v>
      </c>
      <c r="Z4" s="5"/>
      <c r="AA4" s="4"/>
      <c r="AB4" s="321"/>
      <c r="AC4" s="321"/>
      <c r="AD4" s="321"/>
      <c r="AE4" s="7" t="s">
        <v>304</v>
      </c>
      <c r="AF4" s="7" t="s">
        <v>303</v>
      </c>
      <c r="AG4" s="5"/>
      <c r="AH4" s="4"/>
      <c r="AI4" s="7" t="s">
        <v>342</v>
      </c>
      <c r="AJ4" s="7"/>
      <c r="AK4" s="7"/>
      <c r="AL4" s="7"/>
      <c r="AM4" s="13">
        <f>IF(Input!AQ7="",0,Input!AQ7)</f>
        <v>0</v>
      </c>
      <c r="AN4" s="5"/>
    </row>
    <row r="5" spans="1:40" x14ac:dyDescent="0.25">
      <c r="A5" s="4"/>
      <c r="B5" s="7"/>
      <c r="C5" s="7"/>
      <c r="D5" s="7"/>
      <c r="E5" s="324" t="s">
        <v>100</v>
      </c>
      <c r="F5" s="324"/>
      <c r="G5" s="45">
        <f>IF(G4&lt;330,330,IF(G4&gt;2000,2000,G4))</f>
        <v>330</v>
      </c>
      <c r="H5" s="94"/>
      <c r="I5" s="4"/>
      <c r="J5" s="321" t="s">
        <v>217</v>
      </c>
      <c r="K5" s="321"/>
      <c r="L5" s="321"/>
      <c r="M5" s="67">
        <f>M!W8</f>
        <v>7.0440000000000004E-17</v>
      </c>
      <c r="N5" s="5"/>
      <c r="O5" s="4"/>
      <c r="P5" s="7"/>
      <c r="Q5" s="7"/>
      <c r="R5" s="7"/>
      <c r="S5" s="7"/>
      <c r="T5" s="5"/>
      <c r="U5" s="4"/>
      <c r="V5" s="321"/>
      <c r="W5" s="321"/>
      <c r="X5" s="321"/>
      <c r="Y5" s="7"/>
      <c r="Z5" s="5"/>
      <c r="AA5" s="4"/>
      <c r="AB5" s="321" t="s">
        <v>312</v>
      </c>
      <c r="AC5" s="321"/>
      <c r="AD5" s="321"/>
      <c r="AE5" s="13">
        <f>IF(Input!AB30="",0,Input!AB30)</f>
        <v>0</v>
      </c>
      <c r="AF5" s="13" t="e">
        <f>NA()</f>
        <v>#N/A</v>
      </c>
      <c r="AG5" s="5"/>
      <c r="AH5" s="4"/>
      <c r="AI5" s="7" t="s">
        <v>63</v>
      </c>
      <c r="AJ5" s="7"/>
      <c r="AK5" s="7"/>
      <c r="AL5" s="7"/>
      <c r="AM5" s="13">
        <f>IF(Input!AQ8="",0,Input!AQ8)</f>
        <v>0</v>
      </c>
      <c r="AN5" s="5"/>
    </row>
    <row r="6" spans="1:40" x14ac:dyDescent="0.25">
      <c r="A6" s="4"/>
      <c r="B6" s="7"/>
      <c r="C6" s="7"/>
      <c r="D6" s="7"/>
      <c r="E6" s="7"/>
      <c r="F6" s="7"/>
      <c r="G6" s="7"/>
      <c r="H6" s="5"/>
      <c r="I6" s="4"/>
      <c r="J6" s="321" t="s">
        <v>218</v>
      </c>
      <c r="K6" s="321"/>
      <c r="L6" s="321"/>
      <c r="M6" s="67">
        <f>M!W9</f>
        <v>3.4107548897000002E-10</v>
      </c>
      <c r="N6" s="5"/>
      <c r="O6" s="4"/>
      <c r="P6" s="321" t="s">
        <v>269</v>
      </c>
      <c r="Q6" s="321"/>
      <c r="R6" s="323"/>
      <c r="S6" s="45">
        <f>M!AB7</f>
        <v>74</v>
      </c>
      <c r="T6" s="5"/>
      <c r="U6" s="4"/>
      <c r="V6" s="321" t="s">
        <v>295</v>
      </c>
      <c r="W6" s="321"/>
      <c r="X6" s="321"/>
      <c r="Y6" s="45" t="str">
        <f>IF(Input!S6="","",Input!S6)</f>
        <v/>
      </c>
      <c r="Z6" s="5"/>
      <c r="AA6" s="4"/>
      <c r="AB6" s="321" t="s">
        <v>59</v>
      </c>
      <c r="AC6" s="321"/>
      <c r="AD6" s="321"/>
      <c r="AE6" s="13">
        <f>IF(Input!AB31="",0,Input!AB31)</f>
        <v>0</v>
      </c>
      <c r="AF6" s="13">
        <f>IF(Input!AE31="",0,Input!AE31)</f>
        <v>0</v>
      </c>
      <c r="AG6" s="5"/>
      <c r="AH6" s="4"/>
      <c r="AI6" s="7" t="s">
        <v>343</v>
      </c>
      <c r="AJ6" s="7"/>
      <c r="AK6" s="7"/>
      <c r="AL6" s="7"/>
      <c r="AM6" s="13">
        <f>IF(Input!AQ9="",0,Input!AQ9)</f>
        <v>0</v>
      </c>
      <c r="AN6" s="5"/>
    </row>
    <row r="7" spans="1:40" x14ac:dyDescent="0.25">
      <c r="A7" s="4"/>
      <c r="B7" s="7" t="s">
        <v>214</v>
      </c>
      <c r="C7" s="7"/>
      <c r="D7" s="7"/>
      <c r="E7" s="308" t="str">
        <f>IF(OR(Input!B11=Lists!A4,Input!B11=Lists!A5),"Older","Standard")</f>
        <v>Standard</v>
      </c>
      <c r="F7" s="308"/>
      <c r="G7" s="308"/>
      <c r="H7" s="95"/>
      <c r="I7" s="4"/>
      <c r="J7" s="321" t="s">
        <v>219</v>
      </c>
      <c r="K7" s="321"/>
      <c r="L7" s="321"/>
      <c r="M7" s="67">
        <f>M!W10</f>
        <v>5.4619676218904505E-4</v>
      </c>
      <c r="N7" s="5"/>
      <c r="O7" s="4"/>
      <c r="P7" s="321" t="s">
        <v>270</v>
      </c>
      <c r="Q7" s="321"/>
      <c r="R7" s="323"/>
      <c r="S7" s="45">
        <f>M!AB8</f>
        <v>48</v>
      </c>
      <c r="T7" s="5"/>
      <c r="U7" s="4"/>
      <c r="V7" s="321" t="s">
        <v>296</v>
      </c>
      <c r="W7" s="321"/>
      <c r="X7" s="321"/>
      <c r="Y7" s="45" t="str">
        <f>IF(Input!S7="","",Input!S7)</f>
        <v/>
      </c>
      <c r="Z7" s="5"/>
      <c r="AA7" s="4"/>
      <c r="AB7" s="321" t="s">
        <v>60</v>
      </c>
      <c r="AC7" s="321"/>
      <c r="AD7" s="321"/>
      <c r="AE7" s="13">
        <f>IF(Input!AB32="",0,Input!AB32)</f>
        <v>0</v>
      </c>
      <c r="AF7" s="13" t="e">
        <f>NA()</f>
        <v>#N/A</v>
      </c>
      <c r="AG7" s="5"/>
      <c r="AH7" s="4"/>
      <c r="AI7" s="7" t="s">
        <v>73</v>
      </c>
      <c r="AJ7" s="7"/>
      <c r="AK7" s="7"/>
      <c r="AL7" s="7"/>
      <c r="AM7" s="13">
        <f>IF(Input!AQ10="",0,Input!AQ10)</f>
        <v>0</v>
      </c>
      <c r="AN7" s="5"/>
    </row>
    <row r="8" spans="1:40" x14ac:dyDescent="0.25">
      <c r="A8" s="4"/>
      <c r="B8" s="7"/>
      <c r="C8" s="7"/>
      <c r="D8" s="7"/>
      <c r="E8" s="7"/>
      <c r="F8" s="7"/>
      <c r="G8" s="7"/>
      <c r="H8" s="5"/>
      <c r="I8" s="4"/>
      <c r="J8" s="321" t="s">
        <v>257</v>
      </c>
      <c r="K8" s="321"/>
      <c r="L8" s="321"/>
      <c r="M8" s="65">
        <f>M!W11</f>
        <v>51.64</v>
      </c>
      <c r="N8" s="5"/>
      <c r="O8" s="4"/>
      <c r="P8" s="7"/>
      <c r="Q8" s="7"/>
      <c r="R8" s="7"/>
      <c r="S8" s="57"/>
      <c r="T8" s="5"/>
      <c r="U8" s="4"/>
      <c r="V8" s="321" t="s">
        <v>297</v>
      </c>
      <c r="W8" s="321"/>
      <c r="X8" s="321"/>
      <c r="Y8" s="13" t="str">
        <f>IF(Y4=0,"",MAX(Y6:Y7))</f>
        <v/>
      </c>
      <c r="Z8" s="5"/>
      <c r="AA8" s="4"/>
      <c r="AB8" s="321" t="s">
        <v>33</v>
      </c>
      <c r="AC8" s="321"/>
      <c r="AD8" s="321"/>
      <c r="AE8" s="13">
        <f>IF(Input!AB33="",0,Input!AB33)</f>
        <v>0</v>
      </c>
      <c r="AF8" s="13">
        <f>IF(Input!AE33="",0,Input!AE33)</f>
        <v>0</v>
      </c>
      <c r="AG8" s="5"/>
      <c r="AH8" s="4"/>
      <c r="AI8" s="7" t="s">
        <v>344</v>
      </c>
      <c r="AJ8" s="7"/>
      <c r="AK8" s="7"/>
      <c r="AL8" s="7"/>
      <c r="AM8" s="13">
        <f>IF(Input!AQ11="",0,Input!AQ11)</f>
        <v>0</v>
      </c>
      <c r="AN8" s="5"/>
    </row>
    <row r="9" spans="1:40" x14ac:dyDescent="0.25">
      <c r="A9" s="4"/>
      <c r="B9" s="322" t="s">
        <v>215</v>
      </c>
      <c r="C9" s="322"/>
      <c r="D9" s="322"/>
      <c r="E9" s="322" t="s">
        <v>216</v>
      </c>
      <c r="F9" s="322"/>
      <c r="G9" s="322"/>
      <c r="H9" s="96"/>
      <c r="I9" s="4"/>
      <c r="J9" s="321"/>
      <c r="K9" s="321"/>
      <c r="L9" s="321"/>
      <c r="M9" s="66"/>
      <c r="N9" s="5"/>
      <c r="O9" s="4"/>
      <c r="P9" s="321" t="s">
        <v>271</v>
      </c>
      <c r="Q9" s="321"/>
      <c r="R9" s="323"/>
      <c r="S9" s="55">
        <f>IF(S4="Standard",S6,IF(S4="Older",S7,""))</f>
        <v>74</v>
      </c>
      <c r="T9" s="5"/>
      <c r="U9" s="4"/>
      <c r="V9" s="321"/>
      <c r="W9" s="321"/>
      <c r="X9" s="321"/>
      <c r="Y9" s="7"/>
      <c r="Z9" s="5"/>
      <c r="AA9" s="4"/>
      <c r="AB9" s="321"/>
      <c r="AC9" s="321"/>
      <c r="AD9" s="321"/>
      <c r="AE9" s="7"/>
      <c r="AF9" s="7"/>
      <c r="AG9" s="5"/>
      <c r="AH9" s="4"/>
      <c r="AI9" s="7"/>
      <c r="AJ9" s="7"/>
      <c r="AK9" s="7"/>
      <c r="AL9" s="7"/>
      <c r="AM9" s="7"/>
      <c r="AN9" s="5"/>
    </row>
    <row r="10" spans="1:40" x14ac:dyDescent="0.25">
      <c r="A10" s="4"/>
      <c r="B10" s="308" t="str">
        <f>IF(OR(Input!H30="",Input!H31=""),"",(Exp!E7&amp;Input!H30&amp;Input!H31))</f>
        <v/>
      </c>
      <c r="C10" s="308"/>
      <c r="D10" s="308"/>
      <c r="E10" s="308" t="str">
        <f>IF(OR(Input!H35="",Input!H36=""),"",(Exp!E7&amp;Input!H35&amp;Input!H36))</f>
        <v/>
      </c>
      <c r="F10" s="308"/>
      <c r="G10" s="308"/>
      <c r="H10" s="95"/>
      <c r="I10" s="4"/>
      <c r="J10" s="321" t="s">
        <v>255</v>
      </c>
      <c r="K10" s="321"/>
      <c r="L10" s="321"/>
      <c r="M10" s="158">
        <f>IFERROR((M5*M4^3)-(M6*M4^2)+(M7*M4^1)+M8,0)</f>
        <v>0</v>
      </c>
      <c r="N10" s="5"/>
      <c r="O10" s="4"/>
      <c r="P10" s="321" t="s">
        <v>272</v>
      </c>
      <c r="Q10" s="321"/>
      <c r="R10" s="323"/>
      <c r="S10" s="13">
        <f>Input!AQ6</f>
        <v>0</v>
      </c>
      <c r="T10" s="5"/>
      <c r="U10" s="4"/>
      <c r="V10" s="321" t="s">
        <v>217</v>
      </c>
      <c r="W10" s="321"/>
      <c r="X10" s="321"/>
      <c r="Y10" s="13">
        <f>M!AJ7</f>
        <v>0</v>
      </c>
      <c r="Z10" s="5"/>
      <c r="AA10" s="4"/>
      <c r="AB10" s="321" t="s">
        <v>309</v>
      </c>
      <c r="AC10" s="321"/>
      <c r="AD10" s="321"/>
      <c r="AE10" s="68">
        <f>M!AN7</f>
        <v>0.03</v>
      </c>
      <c r="AF10" s="7"/>
      <c r="AG10" s="5"/>
      <c r="AH10" s="4"/>
      <c r="AI10" s="12" t="s">
        <v>345</v>
      </c>
      <c r="AJ10" s="7"/>
      <c r="AK10" s="7"/>
      <c r="AL10" s="7"/>
      <c r="AM10" s="7"/>
      <c r="AN10" s="5"/>
    </row>
    <row r="11" spans="1:40" x14ac:dyDescent="0.25">
      <c r="A11" s="4"/>
      <c r="B11" s="13" t="s">
        <v>217</v>
      </c>
      <c r="C11" s="13" t="str">
        <f>IF(B10="","",VLOOKUP(B$10,M!$R$8:$T$32,2,0))</f>
        <v/>
      </c>
      <c r="D11" s="7"/>
      <c r="E11" s="13" t="s">
        <v>217</v>
      </c>
      <c r="F11" s="13" t="str">
        <f>IF(E10="","",VLOOKUP(E$10,M!$R$8:$T$32,2,0))</f>
        <v/>
      </c>
      <c r="G11" s="7"/>
      <c r="H11" s="5"/>
      <c r="I11" s="4"/>
      <c r="J11" s="321" t="s">
        <v>258</v>
      </c>
      <c r="K11" s="321"/>
      <c r="L11" s="321"/>
      <c r="M11" s="13">
        <f>M!W12</f>
        <v>172</v>
      </c>
      <c r="N11" s="5"/>
      <c r="O11" s="4"/>
      <c r="P11" s="7"/>
      <c r="Q11" s="7"/>
      <c r="R11" s="7"/>
      <c r="S11" s="7"/>
      <c r="T11" s="5"/>
      <c r="U11" s="4"/>
      <c r="V11" s="321" t="s">
        <v>218</v>
      </c>
      <c r="W11" s="321"/>
      <c r="X11" s="321"/>
      <c r="Y11" s="13">
        <f>M!AJ8</f>
        <v>0</v>
      </c>
      <c r="Z11" s="5"/>
      <c r="AA11" s="4"/>
      <c r="AB11" s="321" t="s">
        <v>310</v>
      </c>
      <c r="AC11" s="321"/>
      <c r="AD11" s="321"/>
      <c r="AE11" s="68">
        <f>M!AN8</f>
        <v>0.4</v>
      </c>
      <c r="AF11" s="7"/>
      <c r="AG11" s="5"/>
      <c r="AH11" s="4"/>
      <c r="AI11" s="7" t="s">
        <v>342</v>
      </c>
      <c r="AJ11" s="7"/>
      <c r="AK11" s="7"/>
      <c r="AL11" s="7"/>
      <c r="AM11" s="68">
        <f>M!AF7</f>
        <v>1.1000000000000001</v>
      </c>
      <c r="AN11" s="5"/>
    </row>
    <row r="12" spans="1:40" x14ac:dyDescent="0.25">
      <c r="A12" s="4"/>
      <c r="B12" s="13" t="s">
        <v>218</v>
      </c>
      <c r="C12" s="13" t="str">
        <f>IF(B10="","",VLOOKUP(B$10,M!$R$8:$T$32,3,0))</f>
        <v/>
      </c>
      <c r="D12" s="7"/>
      <c r="E12" s="13" t="s">
        <v>218</v>
      </c>
      <c r="F12" s="13" t="str">
        <f>IF(E10="","",VLOOKUP(E$10,M!$R$8:$T$32,3,0))</f>
        <v/>
      </c>
      <c r="G12" s="7"/>
      <c r="H12" s="5"/>
      <c r="I12" s="4"/>
      <c r="J12" s="321" t="s">
        <v>259</v>
      </c>
      <c r="K12" s="321"/>
      <c r="L12" s="321"/>
      <c r="M12" s="13">
        <f>M!W13</f>
        <v>442</v>
      </c>
      <c r="N12" s="5"/>
      <c r="O12" s="4"/>
      <c r="P12" s="7"/>
      <c r="Q12" s="7"/>
      <c r="R12" s="7"/>
      <c r="S12" s="7"/>
      <c r="T12" s="5"/>
      <c r="U12" s="4"/>
      <c r="V12" s="321" t="s">
        <v>253</v>
      </c>
      <c r="W12" s="321"/>
      <c r="X12" s="321"/>
      <c r="Y12" s="13">
        <f>M!AJ9</f>
        <v>0</v>
      </c>
      <c r="Z12" s="5"/>
      <c r="AA12" s="4"/>
      <c r="AB12" s="321"/>
      <c r="AC12" s="321"/>
      <c r="AD12" s="321"/>
      <c r="AE12" s="7"/>
      <c r="AF12" s="7"/>
      <c r="AG12" s="5"/>
      <c r="AH12" s="4"/>
      <c r="AI12" s="7" t="s">
        <v>63</v>
      </c>
      <c r="AJ12" s="7"/>
      <c r="AK12" s="7"/>
      <c r="AL12" s="7"/>
      <c r="AM12" s="68">
        <f>M!AF8</f>
        <v>1</v>
      </c>
      <c r="AN12" s="5"/>
    </row>
    <row r="13" spans="1:40" x14ac:dyDescent="0.25">
      <c r="A13" s="4"/>
      <c r="B13" s="13" t="s">
        <v>220</v>
      </c>
      <c r="C13" s="13">
        <f>IFERROR(C11*EXP(G5*C12),0)</f>
        <v>0</v>
      </c>
      <c r="D13" s="7"/>
      <c r="E13" s="13" t="s">
        <v>220</v>
      </c>
      <c r="F13" s="13">
        <f>IFERROR(F11*EXP(G5*F12),0)</f>
        <v>0</v>
      </c>
      <c r="G13" s="7"/>
      <c r="H13" s="5"/>
      <c r="I13" s="4"/>
      <c r="J13" s="321" t="s">
        <v>260</v>
      </c>
      <c r="K13" s="321"/>
      <c r="L13" s="321"/>
      <c r="M13" s="45">
        <f>IF(M10&lt;M11,M11,IF(M10&gt;M12,M12,M10))</f>
        <v>172</v>
      </c>
      <c r="N13" s="5"/>
      <c r="O13" s="4"/>
      <c r="P13" s="7"/>
      <c r="Q13" s="7"/>
      <c r="R13" s="7"/>
      <c r="S13" s="7"/>
      <c r="T13" s="5"/>
      <c r="U13" s="4"/>
      <c r="V13" s="321" t="s">
        <v>254</v>
      </c>
      <c r="W13" s="321"/>
      <c r="X13" s="321"/>
      <c r="Y13" s="13">
        <f>M!AJ10</f>
        <v>0</v>
      </c>
      <c r="Z13" s="5"/>
      <c r="AA13" s="4"/>
      <c r="AB13" s="322" t="s">
        <v>311</v>
      </c>
      <c r="AC13" s="322"/>
      <c r="AD13" s="322"/>
      <c r="AE13" s="12" t="s">
        <v>304</v>
      </c>
      <c r="AF13" s="12" t="s">
        <v>303</v>
      </c>
      <c r="AG13" s="5"/>
      <c r="AH13" s="4"/>
      <c r="AI13" s="7" t="s">
        <v>343</v>
      </c>
      <c r="AJ13" s="7"/>
      <c r="AK13" s="7"/>
      <c r="AL13" s="7"/>
      <c r="AM13" s="68">
        <f>M!AF9</f>
        <v>1</v>
      </c>
      <c r="AN13" s="5"/>
    </row>
    <row r="14" spans="1:40" x14ac:dyDescent="0.25">
      <c r="A14" s="4"/>
      <c r="B14" s="7"/>
      <c r="C14" s="7"/>
      <c r="D14" s="7"/>
      <c r="E14" s="7"/>
      <c r="F14" s="7"/>
      <c r="G14" s="7"/>
      <c r="H14" s="5"/>
      <c r="I14" s="4"/>
      <c r="J14" s="7"/>
      <c r="K14" s="7"/>
      <c r="L14" s="7"/>
      <c r="M14" s="7"/>
      <c r="N14" s="5"/>
      <c r="O14" s="4"/>
      <c r="P14" s="7"/>
      <c r="Q14" s="7"/>
      <c r="R14" s="7"/>
      <c r="S14" s="7"/>
      <c r="T14" s="5"/>
      <c r="U14" s="4"/>
      <c r="V14" s="321"/>
      <c r="W14" s="321"/>
      <c r="X14" s="321"/>
      <c r="Y14" s="7"/>
      <c r="Z14" s="5"/>
      <c r="AA14" s="4"/>
      <c r="AB14" s="321" t="s">
        <v>58</v>
      </c>
      <c r="AC14" s="321"/>
      <c r="AD14" s="321"/>
      <c r="AE14" s="13">
        <f>AE5</f>
        <v>0</v>
      </c>
      <c r="AF14" s="45">
        <f>AE5*AE10</f>
        <v>0</v>
      </c>
      <c r="AG14" s="5"/>
      <c r="AH14" s="4"/>
      <c r="AI14" s="7" t="s">
        <v>73</v>
      </c>
      <c r="AJ14" s="7"/>
      <c r="AK14" s="7"/>
      <c r="AL14" s="7"/>
      <c r="AM14" s="68">
        <f>M!AF10</f>
        <v>1</v>
      </c>
      <c r="AN14" s="5"/>
    </row>
    <row r="15" spans="1:40" x14ac:dyDescent="0.25">
      <c r="A15" s="4"/>
      <c r="B15" s="7"/>
      <c r="C15" s="7"/>
      <c r="D15" s="7"/>
      <c r="E15" s="7"/>
      <c r="F15" s="7"/>
      <c r="G15" s="7"/>
      <c r="H15" s="5"/>
      <c r="I15" s="4"/>
      <c r="J15" s="7"/>
      <c r="K15" s="7"/>
      <c r="L15" s="7"/>
      <c r="M15" s="7"/>
      <c r="N15" s="5"/>
      <c r="O15" s="4"/>
      <c r="P15" s="7"/>
      <c r="Q15" s="7"/>
      <c r="R15" s="7"/>
      <c r="S15" s="7"/>
      <c r="T15" s="5"/>
      <c r="U15" s="4"/>
      <c r="V15" s="321" t="s">
        <v>300</v>
      </c>
      <c r="W15" s="321"/>
      <c r="X15" s="321"/>
      <c r="Y15" s="45">
        <f>IFERROR(Y10*EXP(Y8*Y11),0)</f>
        <v>0</v>
      </c>
      <c r="Z15" s="5"/>
      <c r="AA15" s="4"/>
      <c r="AB15" s="321" t="s">
        <v>59</v>
      </c>
      <c r="AC15" s="321"/>
      <c r="AD15" s="321"/>
      <c r="AE15" s="13">
        <f t="shared" ref="AE15:AE17" si="0">AE6</f>
        <v>0</v>
      </c>
      <c r="AF15" s="45">
        <f>AF6</f>
        <v>0</v>
      </c>
      <c r="AG15" s="5"/>
      <c r="AH15" s="4"/>
      <c r="AI15" s="7" t="s">
        <v>344</v>
      </c>
      <c r="AJ15" s="7"/>
      <c r="AK15" s="7"/>
      <c r="AL15" s="7"/>
      <c r="AM15" s="68">
        <f>M!AF11</f>
        <v>1</v>
      </c>
      <c r="AN15" s="5"/>
    </row>
    <row r="16" spans="1:40" x14ac:dyDescent="0.25">
      <c r="A16" s="4"/>
      <c r="B16" s="7"/>
      <c r="C16" s="7"/>
      <c r="D16" s="7"/>
      <c r="E16" s="7"/>
      <c r="F16" s="7"/>
      <c r="G16" s="7"/>
      <c r="H16" s="5"/>
      <c r="I16" s="4"/>
      <c r="J16" s="7"/>
      <c r="K16" s="7"/>
      <c r="L16" s="7"/>
      <c r="M16" s="12" t="s">
        <v>265</v>
      </c>
      <c r="N16" s="5"/>
      <c r="O16" s="4"/>
      <c r="P16" s="7"/>
      <c r="Q16" s="7"/>
      <c r="R16" s="7"/>
      <c r="S16" s="7"/>
      <c r="T16" s="5"/>
      <c r="U16" s="4"/>
      <c r="V16" s="321" t="s">
        <v>260</v>
      </c>
      <c r="W16" s="321"/>
      <c r="X16" s="321"/>
      <c r="Y16" s="13">
        <f>MAX(Y12,MIN(Y15,Y13))</f>
        <v>0</v>
      </c>
      <c r="Z16" s="5"/>
      <c r="AA16" s="4"/>
      <c r="AB16" s="321" t="s">
        <v>60</v>
      </c>
      <c r="AC16" s="321"/>
      <c r="AD16" s="321"/>
      <c r="AE16" s="13">
        <f t="shared" si="0"/>
        <v>0</v>
      </c>
      <c r="AF16" s="45">
        <f>(AE11/12)*AE7</f>
        <v>0</v>
      </c>
      <c r="AG16" s="5"/>
      <c r="AH16" s="4"/>
      <c r="AI16" s="7"/>
      <c r="AJ16" s="7"/>
      <c r="AK16" s="7"/>
      <c r="AL16" s="7"/>
      <c r="AM16" s="7"/>
      <c r="AN16" s="5"/>
    </row>
    <row r="17" spans="1:40" x14ac:dyDescent="0.25">
      <c r="A17" s="4"/>
      <c r="B17" s="7"/>
      <c r="C17" s="7"/>
      <c r="D17" s="7"/>
      <c r="E17" s="7"/>
      <c r="F17" s="7"/>
      <c r="G17" s="7"/>
      <c r="H17" s="5"/>
      <c r="I17" s="4"/>
      <c r="J17" s="322" t="s">
        <v>261</v>
      </c>
      <c r="K17" s="322"/>
      <c r="L17" s="11"/>
      <c r="M17" s="13" t="str">
        <f>IF(Input!H30="","",Input!H30)</f>
        <v/>
      </c>
      <c r="N17" s="5"/>
      <c r="O17" s="4"/>
      <c r="P17" s="7"/>
      <c r="Q17" s="7"/>
      <c r="R17" s="7"/>
      <c r="S17" s="7"/>
      <c r="T17" s="5"/>
      <c r="U17" s="4"/>
      <c r="V17" s="321"/>
      <c r="W17" s="321"/>
      <c r="X17" s="321"/>
      <c r="Y17" s="7"/>
      <c r="Z17" s="5"/>
      <c r="AA17" s="4"/>
      <c r="AB17" s="321" t="s">
        <v>33</v>
      </c>
      <c r="AC17" s="321"/>
      <c r="AD17" s="321"/>
      <c r="AE17" s="13">
        <f t="shared" si="0"/>
        <v>0</v>
      </c>
      <c r="AF17" s="45">
        <f>AF8</f>
        <v>0</v>
      </c>
      <c r="AG17" s="5"/>
      <c r="AH17" s="4"/>
      <c r="AI17" s="12" t="s">
        <v>346</v>
      </c>
      <c r="AJ17" s="7"/>
      <c r="AK17" s="7"/>
      <c r="AL17" s="7"/>
      <c r="AM17" s="7"/>
      <c r="AN17" s="5"/>
    </row>
    <row r="18" spans="1:40" x14ac:dyDescent="0.25">
      <c r="A18" s="4"/>
      <c r="B18" s="7"/>
      <c r="C18" s="7"/>
      <c r="D18" s="7"/>
      <c r="E18" s="7"/>
      <c r="F18" s="7"/>
      <c r="G18" s="7"/>
      <c r="H18" s="5"/>
      <c r="I18" s="4"/>
      <c r="J18" s="322" t="s">
        <v>262</v>
      </c>
      <c r="K18" s="322"/>
      <c r="L18" s="11"/>
      <c r="M18" s="68">
        <f>IF(M17=0,M!X16,IF(Exp!M17=1,M!X15,1))</f>
        <v>1</v>
      </c>
      <c r="N18" s="5"/>
      <c r="O18" s="4"/>
      <c r="P18" s="7"/>
      <c r="Q18" s="7"/>
      <c r="R18" s="7"/>
      <c r="S18" s="7"/>
      <c r="T18" s="5"/>
      <c r="U18" s="4"/>
      <c r="V18" s="321"/>
      <c r="W18" s="321"/>
      <c r="X18" s="321"/>
      <c r="Y18" s="7"/>
      <c r="Z18" s="5"/>
      <c r="AA18" s="4"/>
      <c r="AB18" s="322" t="s">
        <v>148</v>
      </c>
      <c r="AC18" s="322"/>
      <c r="AD18" s="322"/>
      <c r="AE18" s="29">
        <f>SUM(AE14:AE17)</f>
        <v>0</v>
      </c>
      <c r="AF18" s="48">
        <f>SUM(AF14:AF17)</f>
        <v>0</v>
      </c>
      <c r="AG18" s="5"/>
      <c r="AH18" s="4"/>
      <c r="AI18" s="7" t="s">
        <v>342</v>
      </c>
      <c r="AJ18" s="7"/>
      <c r="AK18" s="7"/>
      <c r="AL18" s="7"/>
      <c r="AM18" s="13">
        <f>AM4*AM11</f>
        <v>0</v>
      </c>
      <c r="AN18" s="5"/>
    </row>
    <row r="19" spans="1:40" x14ac:dyDescent="0.25">
      <c r="A19" s="4"/>
      <c r="B19" s="7"/>
      <c r="C19" s="7"/>
      <c r="D19" s="7"/>
      <c r="E19" s="7"/>
      <c r="F19" s="7"/>
      <c r="G19" s="7"/>
      <c r="H19" s="5"/>
      <c r="I19" s="4"/>
      <c r="J19" s="7"/>
      <c r="K19" s="7"/>
      <c r="L19" s="7"/>
      <c r="M19" s="7"/>
      <c r="N19" s="5"/>
      <c r="O19" s="4"/>
      <c r="P19" s="7"/>
      <c r="Q19" s="7"/>
      <c r="R19" s="7"/>
      <c r="S19" s="7"/>
      <c r="T19" s="5"/>
      <c r="U19" s="4"/>
      <c r="V19" s="321"/>
      <c r="W19" s="321"/>
      <c r="X19" s="321"/>
      <c r="Y19" s="7"/>
      <c r="Z19" s="5"/>
      <c r="AA19" s="4"/>
      <c r="AB19" s="321"/>
      <c r="AC19" s="321"/>
      <c r="AD19" s="321"/>
      <c r="AE19" s="7"/>
      <c r="AF19" s="7"/>
      <c r="AG19" s="5"/>
      <c r="AH19" s="4"/>
      <c r="AI19" s="7" t="s">
        <v>63</v>
      </c>
      <c r="AJ19" s="7"/>
      <c r="AK19" s="7"/>
      <c r="AL19" s="7"/>
      <c r="AM19" s="13">
        <f t="shared" ref="AM19:AM22" si="1">AM5*AM12</f>
        <v>0</v>
      </c>
      <c r="AN19" s="5"/>
    </row>
    <row r="20" spans="1:40" x14ac:dyDescent="0.25">
      <c r="A20" s="4"/>
      <c r="B20" s="7"/>
      <c r="C20" s="7"/>
      <c r="D20" s="7"/>
      <c r="E20" s="7"/>
      <c r="F20" s="7"/>
      <c r="G20" s="7"/>
      <c r="H20" s="5"/>
      <c r="I20" s="4"/>
      <c r="J20" s="7"/>
      <c r="K20" s="7"/>
      <c r="L20" s="7"/>
      <c r="M20" s="7"/>
      <c r="N20" s="5"/>
      <c r="O20" s="4"/>
      <c r="P20" s="7"/>
      <c r="Q20" s="7"/>
      <c r="R20" s="7"/>
      <c r="S20" s="7"/>
      <c r="T20" s="5"/>
      <c r="U20" s="4"/>
      <c r="V20" s="321"/>
      <c r="W20" s="321"/>
      <c r="X20" s="321"/>
      <c r="Y20" s="7"/>
      <c r="Z20" s="5"/>
      <c r="AA20" s="4"/>
      <c r="AB20" s="321"/>
      <c r="AC20" s="321"/>
      <c r="AD20" s="321"/>
      <c r="AE20" s="7"/>
      <c r="AF20" s="7"/>
      <c r="AG20" s="5"/>
      <c r="AH20" s="4"/>
      <c r="AI20" s="7" t="s">
        <v>343</v>
      </c>
      <c r="AJ20" s="7"/>
      <c r="AK20" s="7"/>
      <c r="AL20" s="7"/>
      <c r="AM20" s="13">
        <f t="shared" si="1"/>
        <v>0</v>
      </c>
      <c r="AN20" s="5"/>
    </row>
    <row r="21" spans="1:40" x14ac:dyDescent="0.25">
      <c r="A21" s="4"/>
      <c r="B21" s="7"/>
      <c r="C21" s="7"/>
      <c r="D21" s="7"/>
      <c r="E21" s="7"/>
      <c r="F21" s="7"/>
      <c r="G21" s="7"/>
      <c r="H21" s="5"/>
      <c r="I21" s="4"/>
      <c r="J21" s="7"/>
      <c r="K21" s="7"/>
      <c r="L21" s="7"/>
      <c r="M21" s="7"/>
      <c r="N21" s="5"/>
      <c r="O21" s="4"/>
      <c r="P21" s="7"/>
      <c r="Q21" s="7"/>
      <c r="R21" s="7"/>
      <c r="S21" s="7"/>
      <c r="T21" s="5"/>
      <c r="U21" s="4"/>
      <c r="V21" s="321"/>
      <c r="W21" s="321"/>
      <c r="X21" s="321"/>
      <c r="Y21" s="7"/>
      <c r="Z21" s="5"/>
      <c r="AA21" s="4"/>
      <c r="AB21" s="321"/>
      <c r="AC21" s="321"/>
      <c r="AD21" s="321"/>
      <c r="AE21" s="7"/>
      <c r="AF21" s="7"/>
      <c r="AG21" s="5"/>
      <c r="AH21" s="4"/>
      <c r="AI21" s="7" t="s">
        <v>73</v>
      </c>
      <c r="AJ21" s="7"/>
      <c r="AK21" s="7"/>
      <c r="AL21" s="7"/>
      <c r="AM21" s="13">
        <f t="shared" si="1"/>
        <v>0</v>
      </c>
      <c r="AN21" s="5"/>
    </row>
    <row r="22" spans="1:40" x14ac:dyDescent="0.25">
      <c r="A22" s="4"/>
      <c r="B22" s="7"/>
      <c r="C22" s="7"/>
      <c r="D22" s="7"/>
      <c r="E22" s="7"/>
      <c r="F22" s="7"/>
      <c r="G22" s="7"/>
      <c r="H22" s="5"/>
      <c r="I22" s="4"/>
      <c r="J22" s="7"/>
      <c r="K22" s="7"/>
      <c r="L22" s="7"/>
      <c r="M22" s="7"/>
      <c r="N22" s="5"/>
      <c r="O22" s="4"/>
      <c r="P22" s="7"/>
      <c r="Q22" s="7"/>
      <c r="R22" s="7"/>
      <c r="S22" s="7"/>
      <c r="T22" s="5"/>
      <c r="U22" s="4"/>
      <c r="V22" s="7"/>
      <c r="W22" s="7"/>
      <c r="X22" s="7"/>
      <c r="Y22" s="7"/>
      <c r="Z22" s="5"/>
      <c r="AA22" s="4"/>
      <c r="AB22" s="7"/>
      <c r="AC22" s="7"/>
      <c r="AD22" s="7"/>
      <c r="AE22" s="7"/>
      <c r="AF22" s="7"/>
      <c r="AG22" s="5"/>
      <c r="AH22" s="4"/>
      <c r="AI22" s="7" t="s">
        <v>344</v>
      </c>
      <c r="AJ22" s="7"/>
      <c r="AK22" s="7"/>
      <c r="AL22" s="7"/>
      <c r="AM22" s="13">
        <f t="shared" si="1"/>
        <v>0</v>
      </c>
      <c r="AN22" s="5"/>
    </row>
    <row r="23" spans="1:40" x14ac:dyDescent="0.25">
      <c r="A23" s="4"/>
      <c r="B23" s="7"/>
      <c r="C23" s="7"/>
      <c r="D23" s="7"/>
      <c r="E23" s="7"/>
      <c r="F23" s="7"/>
      <c r="G23" s="7"/>
      <c r="H23" s="5"/>
      <c r="I23" s="4"/>
      <c r="J23" s="7"/>
      <c r="K23" s="7"/>
      <c r="L23" s="7"/>
      <c r="M23" s="7"/>
      <c r="N23" s="5"/>
      <c r="O23" s="4"/>
      <c r="P23" s="7"/>
      <c r="Q23" s="7"/>
      <c r="R23" s="7"/>
      <c r="S23" s="7"/>
      <c r="T23" s="5"/>
      <c r="U23" s="4"/>
      <c r="V23" s="7"/>
      <c r="W23" s="7"/>
      <c r="X23" s="7"/>
      <c r="Y23" s="7"/>
      <c r="Z23" s="5"/>
      <c r="AA23" s="4"/>
      <c r="AB23" s="7"/>
      <c r="AC23" s="7"/>
      <c r="AD23" s="7"/>
      <c r="AE23" s="7"/>
      <c r="AF23" s="7"/>
      <c r="AG23" s="5"/>
      <c r="AH23" s="4"/>
      <c r="AI23" s="7"/>
      <c r="AJ23" s="7"/>
      <c r="AK23" s="7"/>
      <c r="AL23" s="7"/>
      <c r="AM23" s="2"/>
      <c r="AN23" s="5"/>
    </row>
    <row r="24" spans="1:40" x14ac:dyDescent="0.25">
      <c r="A24" s="1"/>
      <c r="B24" s="2"/>
      <c r="C24" s="2"/>
      <c r="D24" s="2"/>
      <c r="E24" s="2"/>
      <c r="F24" s="2"/>
      <c r="G24" s="2"/>
      <c r="H24" s="3"/>
      <c r="I24" s="1"/>
      <c r="J24" s="2"/>
      <c r="K24" s="2"/>
      <c r="L24" s="2"/>
      <c r="M24" s="2"/>
      <c r="N24" s="3"/>
      <c r="O24" s="1"/>
      <c r="P24" s="2"/>
      <c r="Q24" s="2"/>
      <c r="R24" s="2"/>
      <c r="S24" s="2"/>
      <c r="T24" s="3"/>
      <c r="U24" s="1"/>
      <c r="V24" s="2"/>
      <c r="W24" s="2"/>
      <c r="X24" s="2"/>
      <c r="Y24" s="2"/>
      <c r="Z24" s="3"/>
      <c r="AA24" s="1"/>
      <c r="AB24" s="2"/>
      <c r="AC24" s="2"/>
      <c r="AD24" s="2"/>
      <c r="AE24" s="2"/>
      <c r="AF24" s="2"/>
      <c r="AG24" s="3"/>
      <c r="AH24" s="1"/>
      <c r="AI24" s="2"/>
      <c r="AJ24" s="2"/>
      <c r="AK24" s="2"/>
      <c r="AL24" s="2"/>
      <c r="AM24" s="2"/>
      <c r="AN24" s="3"/>
    </row>
    <row r="25" spans="1:40" s="42" customFormat="1" ht="18.75" x14ac:dyDescent="0.3">
      <c r="A25" s="97"/>
      <c r="B25" s="319" t="s">
        <v>273</v>
      </c>
      <c r="C25" s="319"/>
      <c r="D25" s="319"/>
      <c r="E25" s="319"/>
      <c r="F25" s="319"/>
      <c r="G25" s="50">
        <f>C13+F13</f>
        <v>0</v>
      </c>
      <c r="H25" s="98"/>
      <c r="I25" s="97"/>
      <c r="J25" s="106" t="s">
        <v>266</v>
      </c>
      <c r="K25" s="106"/>
      <c r="L25" s="106"/>
      <c r="M25" s="70">
        <f>M13*M18</f>
        <v>172</v>
      </c>
      <c r="N25" s="99"/>
      <c r="O25" s="100"/>
      <c r="P25" s="107" t="s">
        <v>274</v>
      </c>
      <c r="Q25" s="102"/>
      <c r="R25" s="102"/>
      <c r="S25" s="44">
        <f>MAX(S9:S10)</f>
        <v>74</v>
      </c>
      <c r="T25" s="101"/>
      <c r="U25" s="97"/>
      <c r="V25" s="104" t="s">
        <v>302</v>
      </c>
      <c r="W25" s="104"/>
      <c r="X25" s="104"/>
      <c r="Y25" s="44">
        <f>Y16</f>
        <v>0</v>
      </c>
      <c r="Z25" s="101"/>
      <c r="AA25" s="97"/>
      <c r="AB25" s="319" t="s">
        <v>301</v>
      </c>
      <c r="AC25" s="319"/>
      <c r="AD25" s="319"/>
      <c r="AE25" s="320"/>
      <c r="AF25" s="50">
        <f>AF18</f>
        <v>0</v>
      </c>
      <c r="AG25" s="101"/>
      <c r="AH25" s="97"/>
      <c r="AI25" s="104" t="s">
        <v>348</v>
      </c>
      <c r="AJ25" s="104"/>
      <c r="AK25" s="104"/>
      <c r="AL25" s="104"/>
      <c r="AM25" s="44">
        <f>SUM(AM18:AM22)</f>
        <v>0</v>
      </c>
      <c r="AN25" s="101"/>
    </row>
    <row r="26" spans="1:40" x14ac:dyDescent="0.25">
      <c r="A26" s="8"/>
      <c r="B26" s="9"/>
      <c r="C26" s="9"/>
      <c r="D26" s="9"/>
      <c r="E26" s="9"/>
      <c r="F26" s="9"/>
      <c r="G26" s="9"/>
      <c r="H26" s="10"/>
      <c r="I26" s="8"/>
      <c r="J26" s="9"/>
      <c r="K26" s="9"/>
      <c r="L26" s="9"/>
      <c r="M26" s="9"/>
      <c r="N26" s="10"/>
      <c r="O26" s="8"/>
      <c r="P26" s="9"/>
      <c r="Q26" s="9"/>
      <c r="R26" s="9"/>
      <c r="S26" s="9"/>
      <c r="T26" s="10"/>
      <c r="U26" s="8"/>
      <c r="V26" s="9"/>
      <c r="W26" s="9"/>
      <c r="X26" s="9"/>
      <c r="Y26" s="9"/>
      <c r="Z26" s="10"/>
      <c r="AA26" s="8"/>
      <c r="AB26" s="9"/>
      <c r="AC26" s="9"/>
      <c r="AD26" s="9"/>
      <c r="AE26" s="9"/>
      <c r="AF26" s="9"/>
      <c r="AG26" s="10"/>
      <c r="AH26" s="8"/>
      <c r="AI26" s="9"/>
      <c r="AJ26" s="9"/>
      <c r="AK26" s="9"/>
      <c r="AL26" s="9"/>
      <c r="AM26" s="9"/>
      <c r="AN26" s="10"/>
    </row>
  </sheetData>
  <mergeCells count="61">
    <mergeCell ref="J17:K17"/>
    <mergeCell ref="J18:K18"/>
    <mergeCell ref="B25:F25"/>
    <mergeCell ref="J4:L4"/>
    <mergeCell ref="J5:L5"/>
    <mergeCell ref="J6:L6"/>
    <mergeCell ref="J7:L7"/>
    <mergeCell ref="J8:L8"/>
    <mergeCell ref="J9:L9"/>
    <mergeCell ref="J10:L10"/>
    <mergeCell ref="J11:L11"/>
    <mergeCell ref="J12:L12"/>
    <mergeCell ref="E5:F5"/>
    <mergeCell ref="E7:G7"/>
    <mergeCell ref="B9:D9"/>
    <mergeCell ref="P6:R6"/>
    <mergeCell ref="P7:R7"/>
    <mergeCell ref="P9:R9"/>
    <mergeCell ref="P10:R10"/>
    <mergeCell ref="J13:L13"/>
    <mergeCell ref="V7:X7"/>
    <mergeCell ref="V8:X8"/>
    <mergeCell ref="E9:G9"/>
    <mergeCell ref="B10:D10"/>
    <mergeCell ref="E10:G10"/>
    <mergeCell ref="V9:X9"/>
    <mergeCell ref="P4:R4"/>
    <mergeCell ref="V21:X21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4:X4"/>
    <mergeCell ref="V5:X5"/>
    <mergeCell ref="V6:X6"/>
    <mergeCell ref="AB15:AD15"/>
    <mergeCell ref="AB4:AD4"/>
    <mergeCell ref="AB5:AD5"/>
    <mergeCell ref="AB6:AD6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25:AE25"/>
    <mergeCell ref="AB16:AD16"/>
    <mergeCell ref="AB17:AD17"/>
    <mergeCell ref="AB18:AD18"/>
    <mergeCell ref="AB19:AD19"/>
    <mergeCell ref="AB20:AD20"/>
    <mergeCell ref="AB21:AD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6EAD0-9416-4BDF-AED4-32F686DA68B0}">
  <sheetPr codeName="Sheet11"/>
  <dimension ref="B2:M22"/>
  <sheetViews>
    <sheetView workbookViewId="0">
      <selection activeCell="E7" sqref="E7:G7"/>
    </sheetView>
  </sheetViews>
  <sheetFormatPr defaultColWidth="8.85546875" defaultRowHeight="15" x14ac:dyDescent="0.25"/>
  <cols>
    <col min="1" max="16384" width="8.85546875" style="14"/>
  </cols>
  <sheetData>
    <row r="2" spans="2:13" s="42" customFormat="1" ht="18.75" x14ac:dyDescent="0.3">
      <c r="B2" s="42" t="s">
        <v>87</v>
      </c>
      <c r="J2" s="42" t="s">
        <v>275</v>
      </c>
    </row>
    <row r="3" spans="2:13" x14ac:dyDescent="0.25">
      <c r="E3" s="29" t="s">
        <v>17</v>
      </c>
      <c r="F3" s="29" t="s">
        <v>18</v>
      </c>
      <c r="G3" s="29" t="s">
        <v>148</v>
      </c>
    </row>
    <row r="4" spans="2:13" x14ac:dyDescent="0.25">
      <c r="J4" s="303" t="s">
        <v>212</v>
      </c>
      <c r="K4" s="303"/>
      <c r="L4" s="303"/>
      <c r="M4" s="45">
        <f>Exp!G25</f>
        <v>0</v>
      </c>
    </row>
    <row r="5" spans="2:13" x14ac:dyDescent="0.25">
      <c r="B5" s="15" t="s">
        <v>280</v>
      </c>
      <c r="E5" s="308">
        <f>IF(OR(Input!B11=Lists!A3,Input!B11=Lists!A6),1,0)</f>
        <v>0</v>
      </c>
      <c r="F5" s="308"/>
      <c r="G5" s="308"/>
      <c r="J5" s="303" t="s">
        <v>290</v>
      </c>
      <c r="K5" s="303"/>
      <c r="L5" s="303"/>
      <c r="M5" s="45">
        <f>Exp!M25</f>
        <v>172</v>
      </c>
    </row>
    <row r="6" spans="2:13" x14ac:dyDescent="0.25">
      <c r="B6" s="15"/>
      <c r="E6" s="6"/>
      <c r="F6" s="6"/>
      <c r="G6" s="6"/>
      <c r="J6" s="303" t="s">
        <v>268</v>
      </c>
      <c r="K6" s="303"/>
      <c r="L6" s="303"/>
      <c r="M6" s="45">
        <f>Exp!S25</f>
        <v>74</v>
      </c>
    </row>
    <row r="7" spans="2:13" x14ac:dyDescent="0.25">
      <c r="B7" s="15" t="s">
        <v>340</v>
      </c>
      <c r="E7" s="308">
        <f>IF(Input!B11=Lists!A8,1,IF(Input!B11=Lists!A9,1,0))</f>
        <v>0</v>
      </c>
      <c r="F7" s="308"/>
      <c r="G7" s="308"/>
      <c r="J7" s="303" t="s">
        <v>267</v>
      </c>
      <c r="K7" s="303"/>
      <c r="L7" s="303"/>
      <c r="M7" s="45">
        <f>Exp!Y25</f>
        <v>0</v>
      </c>
    </row>
    <row r="8" spans="2:13" x14ac:dyDescent="0.25">
      <c r="B8" s="15"/>
      <c r="E8" s="132"/>
      <c r="F8" s="132"/>
      <c r="G8" s="132"/>
      <c r="J8" s="303" t="s">
        <v>291</v>
      </c>
      <c r="K8" s="303"/>
      <c r="L8" s="303"/>
      <c r="M8" s="45">
        <f>Exp!AF25</f>
        <v>0</v>
      </c>
    </row>
    <row r="9" spans="2:13" x14ac:dyDescent="0.25">
      <c r="B9" s="15" t="s">
        <v>277</v>
      </c>
      <c r="E9" s="308">
        <f>IF(MAX(GrsIncSum!N29:O29,GrsIncSum!S29:T29)&gt;0,1,0)</f>
        <v>0</v>
      </c>
      <c r="F9" s="308"/>
      <c r="G9" s="308"/>
      <c r="J9" s="303" t="s">
        <v>293</v>
      </c>
      <c r="K9" s="303"/>
      <c r="L9" s="303"/>
      <c r="M9" s="13">
        <f>Exp!AM25</f>
        <v>0</v>
      </c>
    </row>
    <row r="10" spans="2:13" x14ac:dyDescent="0.25">
      <c r="J10" s="303"/>
      <c r="K10" s="303"/>
      <c r="L10" s="303"/>
    </row>
    <row r="11" spans="2:13" x14ac:dyDescent="0.25">
      <c r="B11" s="329" t="s">
        <v>281</v>
      </c>
      <c r="C11" s="329"/>
      <c r="D11" s="329"/>
      <c r="E11" s="13">
        <f>GrsIncSum!D29+GrsIncSum!I29+GrsIncSum!N29+GrsIncSum!S29</f>
        <v>0</v>
      </c>
      <c r="F11" s="13">
        <f>GrsIncSum!E29+GrsIncSum!J29+GrsIncSum!O29+GrsIncSum!T29</f>
        <v>0</v>
      </c>
      <c r="G11" s="13">
        <f>SUM(E11:F11)</f>
        <v>0</v>
      </c>
    </row>
    <row r="13" spans="2:13" x14ac:dyDescent="0.25">
      <c r="B13" s="329" t="s">
        <v>282</v>
      </c>
      <c r="C13" s="329"/>
      <c r="D13" s="330"/>
      <c r="E13" s="45">
        <f>IncSumUK!K12</f>
        <v>0</v>
      </c>
      <c r="F13" s="45">
        <f>IncSumUK!L12</f>
        <v>0</v>
      </c>
      <c r="G13" s="45">
        <f>SUM(E13:F13)</f>
        <v>0</v>
      </c>
    </row>
    <row r="14" spans="2:13" x14ac:dyDescent="0.25">
      <c r="B14" s="329" t="s">
        <v>283</v>
      </c>
      <c r="C14" s="329"/>
      <c r="D14" s="330"/>
      <c r="E14" s="45">
        <f>IncSumGsy!K12</f>
        <v>0</v>
      </c>
      <c r="F14" s="45">
        <f>IncSumGsy!L12</f>
        <v>0</v>
      </c>
      <c r="G14" s="45">
        <f>SUM(E14:F14)</f>
        <v>0</v>
      </c>
    </row>
    <row r="16" spans="2:13" x14ac:dyDescent="0.25">
      <c r="B16" s="327" t="s">
        <v>284</v>
      </c>
      <c r="C16" s="327"/>
      <c r="D16" s="327"/>
      <c r="E16" s="74">
        <f>IF(E5=1,E14,E13)</f>
        <v>0</v>
      </c>
      <c r="F16" s="74">
        <f>IF(E5=1,F14,F13)</f>
        <v>0</v>
      </c>
      <c r="G16" s="74">
        <f>SUM(E16:F16)</f>
        <v>0</v>
      </c>
    </row>
    <row r="17" spans="2:13" x14ac:dyDescent="0.25">
      <c r="B17" s="327" t="s">
        <v>285</v>
      </c>
      <c r="C17" s="327"/>
      <c r="D17" s="327"/>
      <c r="E17" s="41">
        <f>((Input!R31*M!E18))+((Input!R32*M!E19))+((Input!R33*M!E20))+((Input!R36))</f>
        <v>0</v>
      </c>
      <c r="F17" s="41">
        <f>((Input!T31*M!E18))+((Input!T32*M!E19))+((Input!T33*M!E20))+((Input!T36))</f>
        <v>0</v>
      </c>
      <c r="G17" s="74">
        <f>SUM(E17:F17)</f>
        <v>0</v>
      </c>
    </row>
    <row r="18" spans="2:13" s="32" customFormat="1" ht="15.75" x14ac:dyDescent="0.25">
      <c r="B18" s="327" t="s">
        <v>286</v>
      </c>
      <c r="C18" s="327"/>
      <c r="D18" s="327"/>
      <c r="E18" s="45">
        <f>SUM(E16:E17)</f>
        <v>0</v>
      </c>
      <c r="F18" s="45">
        <f>SUM(F16:F17)</f>
        <v>0</v>
      </c>
      <c r="G18" s="74">
        <f>SUM(E18:F18)</f>
        <v>0</v>
      </c>
      <c r="J18" s="14"/>
      <c r="K18" s="14"/>
      <c r="L18" s="14"/>
      <c r="M18" s="14"/>
    </row>
    <row r="20" spans="2:13" ht="15.75" x14ac:dyDescent="0.25">
      <c r="B20" s="327" t="s">
        <v>288</v>
      </c>
      <c r="C20" s="327"/>
      <c r="D20" s="327"/>
      <c r="E20" s="13">
        <f>IF(Input!AQ17="",0,Input!AQ17)</f>
        <v>0</v>
      </c>
      <c r="F20" s="13">
        <f>IF(Input!AQ18="",0,Input!AQ18)</f>
        <v>0</v>
      </c>
      <c r="G20" s="13">
        <f>IF(AND(E20="",F20=""),"",SUM(E20:F20))</f>
        <v>0</v>
      </c>
      <c r="J20" s="325" t="s">
        <v>292</v>
      </c>
      <c r="K20" s="325"/>
      <c r="L20" s="326"/>
      <c r="M20" s="47">
        <f>SUM(M4:M18)</f>
        <v>246</v>
      </c>
    </row>
    <row r="21" spans="2:13" ht="15.75" x14ac:dyDescent="0.25">
      <c r="J21" s="325" t="s">
        <v>407</v>
      </c>
      <c r="K21" s="325"/>
      <c r="L21" s="326"/>
      <c r="M21" s="45">
        <f>MAX(0,G22-M20)</f>
        <v>0</v>
      </c>
    </row>
    <row r="22" spans="2:13" ht="15.75" x14ac:dyDescent="0.25">
      <c r="B22" s="328" t="s">
        <v>289</v>
      </c>
      <c r="C22" s="328"/>
      <c r="D22" s="328"/>
      <c r="E22" s="47">
        <f>IF(E7=1,E20,IF(AND(E5=1,E20&gt;0),E20,IF(AND(E9=1,E20&gt;0),E20,IF(AND(E20&gt;0,E20&lt;E18),E20,E18))))</f>
        <v>0</v>
      </c>
      <c r="F22" s="47">
        <f>IF(E7=1,F20,IF(AND(E5=1,F20&gt;0),F20,IF(AND(E9=1,F20&gt;0),F20,IF(AND(F20&gt;0,F20&lt;F18),F20,F18))))</f>
        <v>0</v>
      </c>
      <c r="G22" s="47">
        <f>SUM(E22:F22)</f>
        <v>0</v>
      </c>
    </row>
  </sheetData>
  <mergeCells count="20">
    <mergeCell ref="B16:D16"/>
    <mergeCell ref="J4:L4"/>
    <mergeCell ref="J5:L5"/>
    <mergeCell ref="J6:L6"/>
    <mergeCell ref="J7:L7"/>
    <mergeCell ref="J8:L8"/>
    <mergeCell ref="J9:L9"/>
    <mergeCell ref="E5:G5"/>
    <mergeCell ref="B11:D11"/>
    <mergeCell ref="B13:D13"/>
    <mergeCell ref="B14:D14"/>
    <mergeCell ref="E7:G7"/>
    <mergeCell ref="E9:G9"/>
    <mergeCell ref="J10:L10"/>
    <mergeCell ref="J20:L20"/>
    <mergeCell ref="B17:D17"/>
    <mergeCell ref="B18:D18"/>
    <mergeCell ref="B20:D20"/>
    <mergeCell ref="B22:D22"/>
    <mergeCell ref="J21:L21"/>
  </mergeCells>
  <conditionalFormatting sqref="E13:G13">
    <cfRule type="expression" dxfId="20" priority="2">
      <formula>$E$5=0</formula>
    </cfRule>
  </conditionalFormatting>
  <conditionalFormatting sqref="E14:G14">
    <cfRule type="expression" dxfId="19" priority="1">
      <formula>$E$5=1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9D5E4-2F1C-4CA5-A6F5-20AA2A3FA475}">
  <sheetPr codeName="Sheet12"/>
  <dimension ref="B2:S18"/>
  <sheetViews>
    <sheetView workbookViewId="0">
      <selection activeCell="H20" sqref="H20"/>
    </sheetView>
  </sheetViews>
  <sheetFormatPr defaultColWidth="8.7109375" defaultRowHeight="15" x14ac:dyDescent="0.25"/>
  <cols>
    <col min="1" max="17" width="8.7109375" style="14"/>
    <col min="18" max="18" width="9.5703125" style="14" bestFit="1" customWidth="1"/>
    <col min="19" max="16384" width="8.7109375" style="14"/>
  </cols>
  <sheetData>
    <row r="2" spans="2:19" x14ac:dyDescent="0.25">
      <c r="B2" s="14" t="s">
        <v>319</v>
      </c>
      <c r="K2" s="14" t="s">
        <v>329</v>
      </c>
    </row>
    <row r="4" spans="2:19" x14ac:dyDescent="0.25">
      <c r="B4" s="329" t="s">
        <v>3</v>
      </c>
      <c r="C4" s="329"/>
      <c r="D4" s="329"/>
      <c r="E4" s="329"/>
      <c r="F4" s="308" t="str">
        <f>IF(Input!B11="","",Input!B11)</f>
        <v/>
      </c>
      <c r="G4" s="308"/>
      <c r="H4" s="308"/>
      <c r="I4" s="308"/>
      <c r="K4" s="13" t="s">
        <v>330</v>
      </c>
      <c r="L4" s="13" t="s">
        <v>339</v>
      </c>
      <c r="M4" s="13" t="s">
        <v>331</v>
      </c>
      <c r="N4" s="13" t="s">
        <v>332</v>
      </c>
      <c r="O4" s="13" t="s">
        <v>333</v>
      </c>
      <c r="P4" s="13" t="s">
        <v>336</v>
      </c>
      <c r="Q4" s="13" t="s">
        <v>334</v>
      </c>
      <c r="R4" s="13" t="s">
        <v>335</v>
      </c>
      <c r="S4" s="13" t="s">
        <v>338</v>
      </c>
    </row>
    <row r="5" spans="2:19" x14ac:dyDescent="0.25">
      <c r="B5" s="329" t="s">
        <v>320</v>
      </c>
      <c r="C5" s="329"/>
      <c r="D5" s="329"/>
      <c r="E5" s="329"/>
      <c r="F5" s="308">
        <f>SUM(Input!B21:D23)</f>
        <v>0</v>
      </c>
      <c r="G5" s="308"/>
      <c r="H5" s="308"/>
      <c r="I5" s="308"/>
      <c r="K5" s="13">
        <v>1</v>
      </c>
      <c r="L5" s="13" t="str">
        <f>IF(Input!E21="","",Input!E21)</f>
        <v/>
      </c>
      <c r="M5" s="13">
        <f>IF(Input!B21="",0,Input!B21)</f>
        <v>0</v>
      </c>
      <c r="N5" s="13">
        <f>MIN(420,(Input!H21*12)+Input!I21)</f>
        <v>0</v>
      </c>
      <c r="O5" s="31">
        <f>$F$18</f>
        <v>9.1899999999999996E-2</v>
      </c>
      <c r="P5" s="31">
        <f>O5/12</f>
        <v>7.658333333333333E-3</v>
      </c>
      <c r="Q5" s="13">
        <f>IF(OR(OR(M5&lt;=0,N5&lt;=0),L5=""),0,P5*M5)</f>
        <v>0</v>
      </c>
      <c r="R5" s="112">
        <f>IF(OR(OR(M5&lt;=0,N5&lt;=0),L5=""),0,(M5*(O5/12)*(1+(O5/12))^N5)/(((1+(O5/12))^N5)-1))</f>
        <v>0</v>
      </c>
      <c r="S5" s="113">
        <f>IF(L5=Lists!$D$3,'L1'!R5,'L1'!Q5)</f>
        <v>0</v>
      </c>
    </row>
    <row r="6" spans="2:19" x14ac:dyDescent="0.25">
      <c r="B6" s="329" t="s">
        <v>5</v>
      </c>
      <c r="C6" s="329"/>
      <c r="D6" s="329"/>
      <c r="E6" s="329"/>
      <c r="F6" s="308">
        <f>Input!G16</f>
        <v>0</v>
      </c>
      <c r="G6" s="308"/>
      <c r="H6" s="308"/>
      <c r="I6" s="308"/>
      <c r="K6" s="13">
        <v>2</v>
      </c>
      <c r="L6" s="13" t="str">
        <f>IF(Input!E22="","",Input!E22)</f>
        <v/>
      </c>
      <c r="M6" s="13">
        <f>IF(Input!B22="",0,Input!B22)</f>
        <v>0</v>
      </c>
      <c r="N6" s="13">
        <f>MIN(420,(Input!H22*12)+Input!I22)</f>
        <v>0</v>
      </c>
      <c r="O6" s="31">
        <f t="shared" ref="O6:O7" si="0">$F$18</f>
        <v>9.1899999999999996E-2</v>
      </c>
      <c r="P6" s="31">
        <f t="shared" ref="P6:P7" si="1">O6/12</f>
        <v>7.658333333333333E-3</v>
      </c>
      <c r="Q6" s="13">
        <f t="shared" ref="Q6:Q7" si="2">IF(OR(OR(M6&lt;=0,N6&lt;=0),L6=""),0,P6*M6)</f>
        <v>0</v>
      </c>
      <c r="R6" s="112">
        <f t="shared" ref="R6:R7" si="3">IF(OR(OR(M6&lt;=0,N6&lt;=0),L6=""),0,(M6*(O6/12)*(1+(O6/12))^N6)/(((1+(O6/12))^N6)-1))</f>
        <v>0</v>
      </c>
      <c r="S6" s="113">
        <f>IF(L6=Lists!$D$3,'L1'!R6,'L1'!Q6)</f>
        <v>0</v>
      </c>
    </row>
    <row r="7" spans="2:19" x14ac:dyDescent="0.25">
      <c r="B7" s="73"/>
      <c r="C7" s="73"/>
      <c r="D7" s="73"/>
      <c r="E7" s="73"/>
      <c r="K7" s="13">
        <v>3</v>
      </c>
      <c r="L7" s="13" t="str">
        <f>IF(Input!E23="","",Input!E23)</f>
        <v/>
      </c>
      <c r="M7" s="13">
        <f>IF(Input!B23="",0,Input!B23)</f>
        <v>0</v>
      </c>
      <c r="N7" s="13">
        <f>MIN(420,(Input!H23*12)+Input!I23)</f>
        <v>0</v>
      </c>
      <c r="O7" s="31">
        <f t="shared" si="0"/>
        <v>9.1899999999999996E-2</v>
      </c>
      <c r="P7" s="31">
        <f t="shared" si="1"/>
        <v>7.658333333333333E-3</v>
      </c>
      <c r="Q7" s="13">
        <f t="shared" si="2"/>
        <v>0</v>
      </c>
      <c r="R7" s="112">
        <f t="shared" si="3"/>
        <v>0</v>
      </c>
      <c r="S7" s="113">
        <f>IF(L7=Lists!$D$3,'L1'!R7,'L1'!Q7)</f>
        <v>0</v>
      </c>
    </row>
    <row r="8" spans="2:19" x14ac:dyDescent="0.25">
      <c r="B8" s="329" t="s">
        <v>321</v>
      </c>
      <c r="C8" s="329"/>
      <c r="D8" s="329"/>
      <c r="E8" s="329"/>
      <c r="F8" s="332" t="str">
        <f>IF(OR(F5&lt;=0,F6&lt;=0),"",F5/F6)</f>
        <v/>
      </c>
      <c r="G8" s="332"/>
      <c r="S8" s="114"/>
    </row>
    <row r="9" spans="2:19" x14ac:dyDescent="0.25">
      <c r="B9" s="73"/>
      <c r="C9" s="73"/>
      <c r="D9" s="73"/>
      <c r="E9" s="110"/>
      <c r="F9" s="109"/>
      <c r="G9" s="109"/>
      <c r="R9" s="14" t="s">
        <v>148</v>
      </c>
      <c r="S9" s="115">
        <f>SUM(S5:S7)</f>
        <v>0</v>
      </c>
    </row>
    <row r="10" spans="2:19" x14ac:dyDescent="0.25">
      <c r="B10" s="73" t="s">
        <v>323</v>
      </c>
      <c r="C10" s="73"/>
      <c r="D10" s="73"/>
      <c r="E10" s="73"/>
      <c r="F10" s="13">
        <f>IF(Input!$B$11=Lists!A2,1,0)</f>
        <v>0</v>
      </c>
      <c r="M10" s="111" t="s">
        <v>337</v>
      </c>
    </row>
    <row r="11" spans="2:19" x14ac:dyDescent="0.25">
      <c r="B11" s="73" t="s">
        <v>324</v>
      </c>
      <c r="C11" s="73"/>
      <c r="D11" s="73"/>
      <c r="E11" s="73"/>
      <c r="F11" s="13">
        <f>IF(Input!$B$11=Lists!A3,1,0)</f>
        <v>0</v>
      </c>
    </row>
    <row r="12" spans="2:19" x14ac:dyDescent="0.25">
      <c r="B12" s="73" t="s">
        <v>417</v>
      </c>
      <c r="C12" s="73"/>
      <c r="D12" s="73"/>
      <c r="E12" s="73"/>
      <c r="F12" s="13">
        <f>IF(Input!$B$11=Lists!A4,1,IF(Input!$B$11=Lists!A5,1,0))</f>
        <v>0</v>
      </c>
    </row>
    <row r="13" spans="2:19" x14ac:dyDescent="0.25">
      <c r="B13" s="73" t="s">
        <v>418</v>
      </c>
      <c r="C13" s="73"/>
      <c r="D13" s="73"/>
      <c r="E13" s="73"/>
      <c r="F13" s="13">
        <f>IF(Input!$B$11=Lists!A6,1,0)</f>
        <v>0</v>
      </c>
    </row>
    <row r="14" spans="2:19" x14ac:dyDescent="0.25">
      <c r="B14" s="73" t="s">
        <v>325</v>
      </c>
      <c r="C14" s="73"/>
      <c r="D14" s="73"/>
      <c r="E14" s="73"/>
      <c r="F14" s="13">
        <f>IF(Input!$B$11=Lists!A7,1,0)</f>
        <v>0</v>
      </c>
    </row>
    <row r="15" spans="2:19" x14ac:dyDescent="0.25">
      <c r="B15" s="73" t="s">
        <v>326</v>
      </c>
      <c r="C15" s="73"/>
      <c r="D15" s="73"/>
      <c r="E15" s="73"/>
      <c r="F15" s="13">
        <f>IF(Input!$B$11=Lists!A8,1,IF(Input!$B$11=Lists!A9,1,0))</f>
        <v>0</v>
      </c>
    </row>
    <row r="16" spans="2:19" x14ac:dyDescent="0.25">
      <c r="B16" s="14" t="s">
        <v>420</v>
      </c>
      <c r="F16" s="13">
        <f>IF(Input!$B$11=Lists!A10,1,0)</f>
        <v>0</v>
      </c>
    </row>
    <row r="17" spans="4:6" x14ac:dyDescent="0.25">
      <c r="D17" s="304" t="s">
        <v>327</v>
      </c>
      <c r="E17" s="331"/>
      <c r="F17" s="13">
        <f xml:space="preserve">
IF(AND(F10=1,F8&lt;=0.8),10,
IF(AND(F10=1,F8&lt;=0.85),11,
IF(AND(F10=1,F8&lt;=0.9),12,
IF(AND(F10=1,F8&lt;=0.95),16,
IF(F15=1,13,
IF(F12=1,14,
IF(F14=1,15,
IF(F11=1,40,
IF(F13=1,41,
0)))))))))</f>
        <v>0</v>
      </c>
    </row>
    <row r="18" spans="4:6" x14ac:dyDescent="0.25">
      <c r="D18" s="304" t="s">
        <v>328</v>
      </c>
      <c r="E18" s="331"/>
      <c r="F18" s="13">
        <f>IFERROR(VLOOKUP(F17,M!AP7:AQ15,2,0),0.0919)</f>
        <v>9.1899999999999996E-2</v>
      </c>
    </row>
  </sheetData>
  <mergeCells count="10">
    <mergeCell ref="D17:E17"/>
    <mergeCell ref="D18:E18"/>
    <mergeCell ref="B8:E8"/>
    <mergeCell ref="F8:G8"/>
    <mergeCell ref="B4:E4"/>
    <mergeCell ref="B5:E5"/>
    <mergeCell ref="B6:E6"/>
    <mergeCell ref="F4:I4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449D3-499F-443E-A451-75234941D67E}">
  <sheetPr codeName="Sheet13"/>
  <dimension ref="B2:E22"/>
  <sheetViews>
    <sheetView workbookViewId="0">
      <selection activeCell="D10" sqref="D10"/>
    </sheetView>
  </sheetViews>
  <sheetFormatPr defaultColWidth="6.7109375" defaultRowHeight="15" x14ac:dyDescent="0.25"/>
  <cols>
    <col min="2" max="2" width="24.7109375" bestFit="1" customWidth="1"/>
    <col min="3" max="5" width="10.7109375" customWidth="1"/>
  </cols>
  <sheetData>
    <row r="2" spans="2:5" x14ac:dyDescent="0.25">
      <c r="C2" t="s">
        <v>17</v>
      </c>
      <c r="D2" t="s">
        <v>18</v>
      </c>
      <c r="E2" t="s">
        <v>148</v>
      </c>
    </row>
    <row r="3" spans="2:5" x14ac:dyDescent="0.25">
      <c r="B3" s="128"/>
    </row>
    <row r="4" spans="2:5" x14ac:dyDescent="0.25">
      <c r="B4" s="128"/>
    </row>
    <row r="5" spans="2:5" x14ac:dyDescent="0.25">
      <c r="B5" s="128"/>
    </row>
    <row r="6" spans="2:5" x14ac:dyDescent="0.25">
      <c r="B6" s="128"/>
    </row>
    <row r="7" spans="2:5" x14ac:dyDescent="0.25">
      <c r="B7" s="128"/>
    </row>
    <row r="8" spans="2:5" x14ac:dyDescent="0.25">
      <c r="B8" s="128"/>
    </row>
    <row r="9" spans="2:5" x14ac:dyDescent="0.25">
      <c r="B9" s="128"/>
    </row>
    <row r="10" spans="2:5" x14ac:dyDescent="0.25">
      <c r="B10" s="128"/>
    </row>
    <row r="11" spans="2:5" x14ac:dyDescent="0.25">
      <c r="B11" s="128"/>
    </row>
    <row r="12" spans="2:5" x14ac:dyDescent="0.25">
      <c r="B12" s="128"/>
    </row>
    <row r="13" spans="2:5" x14ac:dyDescent="0.25">
      <c r="B13" s="128"/>
    </row>
    <row r="14" spans="2:5" x14ac:dyDescent="0.25">
      <c r="B14" s="128"/>
    </row>
    <row r="15" spans="2:5" x14ac:dyDescent="0.25">
      <c r="B15" s="128"/>
    </row>
    <row r="16" spans="2:5" x14ac:dyDescent="0.25">
      <c r="B16" s="128"/>
    </row>
    <row r="17" spans="2:2" x14ac:dyDescent="0.25">
      <c r="B17" s="128"/>
    </row>
    <row r="18" spans="2:2" x14ac:dyDescent="0.25">
      <c r="B18" s="128"/>
    </row>
    <row r="19" spans="2:2" x14ac:dyDescent="0.25">
      <c r="B19" s="128"/>
    </row>
    <row r="20" spans="2:2" x14ac:dyDescent="0.25">
      <c r="B20" s="128"/>
    </row>
    <row r="21" spans="2:2" x14ac:dyDescent="0.25">
      <c r="B21" s="128"/>
    </row>
    <row r="22" spans="2:2" x14ac:dyDescent="0.25">
      <c r="B22" s="12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DF1AA-B5A9-444A-87DD-7496CF56AA9E}">
  <sheetPr codeName="Sheet14"/>
  <dimension ref="B2:U12"/>
  <sheetViews>
    <sheetView zoomScaleNormal="100" workbookViewId="0">
      <selection activeCell="D10" sqref="D10"/>
    </sheetView>
  </sheetViews>
  <sheetFormatPr defaultColWidth="8.85546875" defaultRowHeight="15" x14ac:dyDescent="0.25"/>
  <cols>
    <col min="1" max="1" width="8.85546875" style="14"/>
    <col min="2" max="2" width="8.85546875" style="15"/>
    <col min="3" max="14" width="8.7109375" style="14" customWidth="1"/>
    <col min="15" max="16384" width="8.85546875" style="14"/>
  </cols>
  <sheetData>
    <row r="2" spans="2:21" x14ac:dyDescent="0.25">
      <c r="B2" s="120">
        <v>6.9900000000000004E-2</v>
      </c>
      <c r="C2" s="308" t="s">
        <v>352</v>
      </c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</row>
    <row r="3" spans="2:21" x14ac:dyDescent="0.25">
      <c r="B3" s="120">
        <v>7.4999999999999997E-2</v>
      </c>
      <c r="C3" s="308" t="s">
        <v>357</v>
      </c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</row>
    <row r="4" spans="2:21" x14ac:dyDescent="0.25">
      <c r="B4" s="120">
        <v>7.9899999999999999E-2</v>
      </c>
      <c r="C4" s="308" t="s">
        <v>358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</row>
    <row r="5" spans="2:21" x14ac:dyDescent="0.25">
      <c r="B5" s="121"/>
    </row>
    <row r="6" spans="2:21" x14ac:dyDescent="0.25">
      <c r="B6" s="121"/>
    </row>
    <row r="7" spans="2:21" x14ac:dyDescent="0.25">
      <c r="B7" s="121"/>
    </row>
    <row r="8" spans="2:21" x14ac:dyDescent="0.25">
      <c r="B8" s="15">
        <v>1</v>
      </c>
      <c r="C8" s="14">
        <v>2</v>
      </c>
      <c r="D8" s="15">
        <v>3</v>
      </c>
      <c r="E8" s="14">
        <v>4</v>
      </c>
      <c r="F8" s="15">
        <v>5</v>
      </c>
      <c r="G8" s="14">
        <v>6</v>
      </c>
      <c r="H8" s="15">
        <v>7</v>
      </c>
      <c r="I8" s="14">
        <v>8</v>
      </c>
      <c r="J8" s="15">
        <v>9</v>
      </c>
      <c r="K8" s="14">
        <v>10</v>
      </c>
      <c r="L8" s="15">
        <v>11</v>
      </c>
      <c r="M8" s="14">
        <v>12</v>
      </c>
      <c r="N8" s="15">
        <v>13</v>
      </c>
      <c r="O8" s="14">
        <v>14</v>
      </c>
      <c r="P8" s="15">
        <v>15</v>
      </c>
      <c r="Q8" s="14">
        <v>16</v>
      </c>
      <c r="R8" s="15">
        <v>17</v>
      </c>
    </row>
    <row r="9" spans="2:21" x14ac:dyDescent="0.25">
      <c r="C9" s="15" t="s">
        <v>217</v>
      </c>
      <c r="D9" s="15" t="s">
        <v>218</v>
      </c>
      <c r="E9" s="15" t="s">
        <v>219</v>
      </c>
      <c r="F9" s="15" t="s">
        <v>257</v>
      </c>
      <c r="G9" s="15" t="s">
        <v>349</v>
      </c>
      <c r="H9" s="15" t="s">
        <v>350</v>
      </c>
      <c r="I9" s="15" t="s">
        <v>351</v>
      </c>
      <c r="J9" s="15" t="s">
        <v>9</v>
      </c>
      <c r="K9" s="15" t="s">
        <v>353</v>
      </c>
      <c r="L9" s="15" t="s">
        <v>354</v>
      </c>
      <c r="M9" s="15" t="s">
        <v>355</v>
      </c>
      <c r="N9" s="15" t="s">
        <v>356</v>
      </c>
      <c r="O9" s="15" t="s">
        <v>368</v>
      </c>
      <c r="P9" s="15" t="s">
        <v>87</v>
      </c>
      <c r="Q9" s="15" t="s">
        <v>369</v>
      </c>
      <c r="R9" s="15" t="s">
        <v>70</v>
      </c>
    </row>
    <row r="10" spans="2:21" x14ac:dyDescent="0.25">
      <c r="B10" s="120">
        <v>6.9900000000000004E-2</v>
      </c>
      <c r="C10" s="119">
        <v>-4.4653067644140497E-15</v>
      </c>
      <c r="D10" s="119">
        <v>9.0342083094904204E-12</v>
      </c>
      <c r="E10" s="119">
        <v>8.9088222950563602E-9</v>
      </c>
      <c r="F10" s="119">
        <v>5.9670140914608598E-6</v>
      </c>
      <c r="G10" s="119">
        <v>2.9631482629589802E-3</v>
      </c>
      <c r="H10" s="119">
        <v>1.0027016973041201</v>
      </c>
      <c r="I10" s="119">
        <v>0.16300284322099001</v>
      </c>
      <c r="J10" s="13">
        <f>'L1'!$N$5</f>
        <v>0</v>
      </c>
      <c r="K10" s="112">
        <f>(C10*J10^6)+(D10*J10^5)-(E10*J10^4)+(F10*J10^3)-(G10*J10^2)+(H10*J10^1)-I10</f>
        <v>-0.16300284322099001</v>
      </c>
      <c r="L10" s="13" t="e">
        <f>Input!#REF!</f>
        <v>#REF!</v>
      </c>
      <c r="M10" s="13" t="e">
        <f>L10*K10</f>
        <v>#REF!</v>
      </c>
      <c r="N10" s="13" t="e">
        <f>ROUNDDOWN(M10/250,0)*250</f>
        <v>#REF!</v>
      </c>
      <c r="O10" s="13" t="e">
        <f>VLOOKUP(Input!$B$11,M!$AS$7:$AT$12,2,0)</f>
        <v>#N/A</v>
      </c>
      <c r="P10" s="45">
        <f>IncforLTI!$F$15</f>
        <v>0</v>
      </c>
      <c r="Q10" s="45" t="e">
        <f>ROUNDDOWN(O10*P10,250)</f>
        <v>#N/A</v>
      </c>
      <c r="R10" s="45" t="e">
        <f>MIN(N10,Q10)</f>
        <v>#REF!</v>
      </c>
    </row>
    <row r="11" spans="2:21" x14ac:dyDescent="0.25">
      <c r="B11" s="120">
        <v>7.4999999999999997E-2</v>
      </c>
      <c r="C11" s="119">
        <v>-8.0851813362012497E-14</v>
      </c>
      <c r="D11" s="119">
        <v>1.1459404964842E-10</v>
      </c>
      <c r="E11" s="119">
        <v>6.62755055949179E-8</v>
      </c>
      <c r="F11" s="119">
        <v>2.1639853426208399E-5</v>
      </c>
      <c r="G11" s="119">
        <v>5.2257770911273401E-3</v>
      </c>
      <c r="H11" s="119">
        <v>1.1403197496062201</v>
      </c>
      <c r="I11" s="119">
        <v>3.6040026540903098</v>
      </c>
      <c r="J11" s="13">
        <f>'L1'!$N$5</f>
        <v>0</v>
      </c>
      <c r="K11" s="112">
        <f t="shared" ref="K11" si="0">(C11*J11^6)+(D11*J11^5)-(E11*J11^4)+(F11*J11^3)-(G11*J11^2)+(H11*J11^1)-I11</f>
        <v>-3.6040026540903098</v>
      </c>
      <c r="L11" s="13" t="e">
        <f>Input!#REF!</f>
        <v>#REF!</v>
      </c>
      <c r="M11" s="13" t="e">
        <f t="shared" ref="M11:M12" si="1">L11*K11</f>
        <v>#REF!</v>
      </c>
      <c r="N11" s="13" t="e">
        <f t="shared" ref="N11:N12" si="2">ROUNDDOWN(M11/500,0)*500</f>
        <v>#REF!</v>
      </c>
      <c r="O11" s="13" t="e">
        <f>VLOOKUP(Input!$B$11,M!$AS$7:$AT$12,2,0)</f>
        <v>#N/A</v>
      </c>
      <c r="P11" s="45">
        <f>IncforLTI!$F$15</f>
        <v>0</v>
      </c>
      <c r="Q11" s="45" t="e">
        <f t="shared" ref="Q11:Q12" si="3">O11*P11</f>
        <v>#N/A</v>
      </c>
      <c r="R11" s="45" t="e">
        <f t="shared" ref="R11:R12" si="4">ROUNDDOWN(MIN(N11,Q11),250)</f>
        <v>#REF!</v>
      </c>
    </row>
    <row r="12" spans="2:21" x14ac:dyDescent="0.25">
      <c r="B12" s="120">
        <v>7.9899999999999999E-2</v>
      </c>
      <c r="C12" s="119">
        <v>-2.3517281092617299E-15</v>
      </c>
      <c r="D12" s="119">
        <v>6.9283694212817702E-12</v>
      </c>
      <c r="E12" s="119">
        <v>8.8150506669698207E-9</v>
      </c>
      <c r="F12" s="119">
        <v>6.60329873769852E-6</v>
      </c>
      <c r="G12" s="119">
        <v>3.2204576550105301E-3</v>
      </c>
      <c r="H12" s="119">
        <v>0.99125502686080202</v>
      </c>
      <c r="I12" s="119">
        <v>0.13099745222242401</v>
      </c>
      <c r="J12" s="13">
        <f>'L1'!$N$5</f>
        <v>0</v>
      </c>
      <c r="K12" s="112">
        <f>(C12*J12^6)+(D12*J12^5)-(E12*J12^4)+(F12*J12^3)-(G12*J12^2)+(H12*J12^1)+I12</f>
        <v>0.13099745222242401</v>
      </c>
      <c r="L12" s="13" t="e">
        <f>Input!#REF!</f>
        <v>#REF!</v>
      </c>
      <c r="M12" s="13" t="e">
        <f t="shared" si="1"/>
        <v>#REF!</v>
      </c>
      <c r="N12" s="13" t="e">
        <f t="shared" si="2"/>
        <v>#REF!</v>
      </c>
      <c r="O12" s="13" t="e">
        <f>VLOOKUP(Input!$B$11,M!$AS$7:$AT$12,2,0)</f>
        <v>#N/A</v>
      </c>
      <c r="P12" s="45">
        <f>IncforLTI!$F$15</f>
        <v>0</v>
      </c>
      <c r="Q12" s="45" t="e">
        <f t="shared" si="3"/>
        <v>#N/A</v>
      </c>
      <c r="R12" s="45" t="e">
        <f t="shared" si="4"/>
        <v>#REF!</v>
      </c>
    </row>
  </sheetData>
  <mergeCells count="3">
    <mergeCell ref="C2:U2"/>
    <mergeCell ref="C3:U3"/>
    <mergeCell ref="C4: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08EE1-23CD-494A-9B43-E483CBE56782}">
  <sheetPr codeName="Sheet2"/>
  <dimension ref="A2:L36"/>
  <sheetViews>
    <sheetView workbookViewId="0">
      <selection activeCell="B11" sqref="B11"/>
    </sheetView>
  </sheetViews>
  <sheetFormatPr defaultRowHeight="15" x14ac:dyDescent="0.25"/>
  <cols>
    <col min="1" max="1" width="31.85546875" bestFit="1" customWidth="1"/>
  </cols>
  <sheetData>
    <row r="2" spans="1:12" x14ac:dyDescent="0.25">
      <c r="A2" t="s">
        <v>1</v>
      </c>
      <c r="B2">
        <v>50000</v>
      </c>
      <c r="C2">
        <v>0</v>
      </c>
      <c r="D2" t="s">
        <v>12</v>
      </c>
      <c r="E2">
        <v>1</v>
      </c>
      <c r="F2">
        <v>0</v>
      </c>
      <c r="G2">
        <v>0</v>
      </c>
      <c r="H2">
        <v>0</v>
      </c>
      <c r="I2">
        <v>60</v>
      </c>
      <c r="J2" t="s">
        <v>22</v>
      </c>
      <c r="K2" t="s">
        <v>31</v>
      </c>
      <c r="L2" t="s">
        <v>359</v>
      </c>
    </row>
    <row r="3" spans="1:12" x14ac:dyDescent="0.25">
      <c r="A3" t="s">
        <v>2</v>
      </c>
      <c r="B3">
        <v>1000000</v>
      </c>
      <c r="C3">
        <v>1000000</v>
      </c>
      <c r="D3" t="s">
        <v>13</v>
      </c>
      <c r="E3">
        <v>2</v>
      </c>
      <c r="F3">
        <v>1</v>
      </c>
      <c r="G3">
        <v>1</v>
      </c>
      <c r="H3">
        <v>1</v>
      </c>
      <c r="I3">
        <v>61</v>
      </c>
      <c r="J3" t="s">
        <v>23</v>
      </c>
      <c r="K3" t="s">
        <v>32</v>
      </c>
      <c r="L3" t="s">
        <v>360</v>
      </c>
    </row>
    <row r="4" spans="1:12" x14ac:dyDescent="0.25">
      <c r="A4" t="s">
        <v>414</v>
      </c>
      <c r="E4">
        <v>3</v>
      </c>
      <c r="F4">
        <v>2</v>
      </c>
      <c r="G4">
        <v>2</v>
      </c>
      <c r="H4">
        <v>2</v>
      </c>
      <c r="I4">
        <v>62</v>
      </c>
      <c r="J4" t="s">
        <v>24</v>
      </c>
      <c r="K4" t="s">
        <v>33</v>
      </c>
    </row>
    <row r="5" spans="1:12" x14ac:dyDescent="0.25">
      <c r="A5" t="s">
        <v>415</v>
      </c>
      <c r="E5">
        <v>4</v>
      </c>
      <c r="F5">
        <v>3</v>
      </c>
      <c r="H5">
        <v>3</v>
      </c>
      <c r="I5">
        <v>63</v>
      </c>
      <c r="J5" t="s">
        <v>25</v>
      </c>
    </row>
    <row r="6" spans="1:12" x14ac:dyDescent="0.25">
      <c r="A6" t="s">
        <v>412</v>
      </c>
      <c r="E6">
        <v>5</v>
      </c>
      <c r="F6">
        <v>4</v>
      </c>
      <c r="I6">
        <v>64</v>
      </c>
      <c r="J6" t="s">
        <v>26</v>
      </c>
    </row>
    <row r="7" spans="1:12" x14ac:dyDescent="0.25">
      <c r="A7" t="s">
        <v>4</v>
      </c>
      <c r="E7">
        <v>6</v>
      </c>
      <c r="F7">
        <v>5</v>
      </c>
      <c r="I7">
        <v>65</v>
      </c>
    </row>
    <row r="8" spans="1:12" x14ac:dyDescent="0.25">
      <c r="A8" t="s">
        <v>6</v>
      </c>
      <c r="E8">
        <v>7</v>
      </c>
      <c r="F8">
        <v>6</v>
      </c>
      <c r="I8">
        <v>66</v>
      </c>
    </row>
    <row r="9" spans="1:12" x14ac:dyDescent="0.25">
      <c r="A9" t="s">
        <v>413</v>
      </c>
      <c r="E9">
        <v>8</v>
      </c>
      <c r="F9">
        <v>7</v>
      </c>
      <c r="I9">
        <v>67</v>
      </c>
    </row>
    <row r="10" spans="1:12" x14ac:dyDescent="0.25">
      <c r="A10" t="s">
        <v>419</v>
      </c>
      <c r="E10">
        <v>9</v>
      </c>
      <c r="F10">
        <v>8</v>
      </c>
      <c r="I10">
        <v>68</v>
      </c>
    </row>
    <row r="11" spans="1:12" x14ac:dyDescent="0.25">
      <c r="E11">
        <v>10</v>
      </c>
      <c r="F11">
        <v>9</v>
      </c>
      <c r="I11">
        <v>69</v>
      </c>
    </row>
    <row r="12" spans="1:12" x14ac:dyDescent="0.25">
      <c r="E12">
        <v>11</v>
      </c>
      <c r="F12">
        <v>10</v>
      </c>
      <c r="I12">
        <v>70</v>
      </c>
    </row>
    <row r="13" spans="1:12" x14ac:dyDescent="0.25">
      <c r="E13">
        <v>12</v>
      </c>
      <c r="F13">
        <v>11</v>
      </c>
    </row>
    <row r="14" spans="1:12" x14ac:dyDescent="0.25">
      <c r="E14">
        <v>13</v>
      </c>
    </row>
    <row r="15" spans="1:12" x14ac:dyDescent="0.25">
      <c r="E15">
        <v>14</v>
      </c>
    </row>
    <row r="16" spans="1:12" x14ac:dyDescent="0.25">
      <c r="E16">
        <v>15</v>
      </c>
    </row>
    <row r="17" spans="5:5" x14ac:dyDescent="0.25">
      <c r="E17">
        <v>16</v>
      </c>
    </row>
    <row r="18" spans="5:5" x14ac:dyDescent="0.25">
      <c r="E18">
        <v>17</v>
      </c>
    </row>
    <row r="19" spans="5:5" x14ac:dyDescent="0.25">
      <c r="E19">
        <v>18</v>
      </c>
    </row>
    <row r="20" spans="5:5" x14ac:dyDescent="0.25">
      <c r="E20">
        <v>19</v>
      </c>
    </row>
    <row r="21" spans="5:5" x14ac:dyDescent="0.25">
      <c r="E21">
        <v>20</v>
      </c>
    </row>
    <row r="22" spans="5:5" x14ac:dyDescent="0.25">
      <c r="E22">
        <v>21</v>
      </c>
    </row>
    <row r="23" spans="5:5" x14ac:dyDescent="0.25">
      <c r="E23">
        <v>22</v>
      </c>
    </row>
    <row r="24" spans="5:5" x14ac:dyDescent="0.25">
      <c r="E24">
        <v>23</v>
      </c>
    </row>
    <row r="25" spans="5:5" x14ac:dyDescent="0.25">
      <c r="E25">
        <v>24</v>
      </c>
    </row>
    <row r="26" spans="5:5" x14ac:dyDescent="0.25">
      <c r="E26">
        <v>25</v>
      </c>
    </row>
    <row r="27" spans="5:5" x14ac:dyDescent="0.25">
      <c r="E27">
        <v>26</v>
      </c>
    </row>
    <row r="28" spans="5:5" x14ac:dyDescent="0.25">
      <c r="E28">
        <v>27</v>
      </c>
    </row>
    <row r="29" spans="5:5" x14ac:dyDescent="0.25">
      <c r="E29">
        <v>28</v>
      </c>
    </row>
    <row r="30" spans="5:5" x14ac:dyDescent="0.25">
      <c r="E30">
        <v>29</v>
      </c>
    </row>
    <row r="31" spans="5:5" x14ac:dyDescent="0.25">
      <c r="E31">
        <v>30</v>
      </c>
    </row>
    <row r="32" spans="5:5" x14ac:dyDescent="0.25">
      <c r="E32">
        <v>31</v>
      </c>
    </row>
    <row r="33" spans="5:5" x14ac:dyDescent="0.25">
      <c r="E33">
        <v>32</v>
      </c>
    </row>
    <row r="34" spans="5:5" x14ac:dyDescent="0.25">
      <c r="E34">
        <v>33</v>
      </c>
    </row>
    <row r="35" spans="5:5" x14ac:dyDescent="0.25">
      <c r="E35">
        <v>34</v>
      </c>
    </row>
    <row r="36" spans="5:5" x14ac:dyDescent="0.25">
      <c r="E36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71873-2685-408A-8110-049B7938D8A3}">
  <sheetPr codeName="Sheet3"/>
  <dimension ref="B2:Y31"/>
  <sheetViews>
    <sheetView topLeftCell="H2" workbookViewId="0">
      <selection activeCell="D10" sqref="D10"/>
    </sheetView>
  </sheetViews>
  <sheetFormatPr defaultColWidth="10.7109375" defaultRowHeight="12.75" x14ac:dyDescent="0.2"/>
  <cols>
    <col min="1" max="1" width="1.7109375" style="37" customWidth="1"/>
    <col min="2" max="5" width="10.7109375" style="37"/>
    <col min="6" max="6" width="1.7109375" style="37" customWidth="1"/>
    <col min="7" max="10" width="10.7109375" style="37"/>
    <col min="11" max="11" width="1.7109375" style="37" customWidth="1"/>
    <col min="12" max="15" width="10.7109375" style="37"/>
    <col min="16" max="16" width="1.7109375" style="37" customWidth="1"/>
    <col min="17" max="20" width="10.7109375" style="37"/>
    <col min="21" max="21" width="1.7109375" style="37" customWidth="1"/>
    <col min="22" max="16384" width="10.7109375" style="37"/>
  </cols>
  <sheetData>
    <row r="2" spans="2:25" ht="18.75" x14ac:dyDescent="0.3">
      <c r="B2" s="42" t="s">
        <v>121</v>
      </c>
    </row>
    <row r="4" spans="2:25" s="35" customFormat="1" x14ac:dyDescent="0.2">
      <c r="B4" s="35" t="s">
        <v>27</v>
      </c>
      <c r="G4" s="35" t="s">
        <v>28</v>
      </c>
      <c r="L4" s="35" t="s">
        <v>34</v>
      </c>
      <c r="Q4" s="35" t="s">
        <v>134</v>
      </c>
      <c r="V4" s="35" t="s">
        <v>367</v>
      </c>
    </row>
    <row r="6" spans="2:25" s="35" customFormat="1" x14ac:dyDescent="0.2">
      <c r="D6" s="35" t="s">
        <v>17</v>
      </c>
      <c r="E6" s="35" t="s">
        <v>18</v>
      </c>
      <c r="I6" s="35" t="s">
        <v>17</v>
      </c>
      <c r="J6" s="35" t="s">
        <v>18</v>
      </c>
      <c r="N6" s="35" t="s">
        <v>17</v>
      </c>
      <c r="O6" s="35" t="s">
        <v>18</v>
      </c>
      <c r="S6" s="35" t="s">
        <v>17</v>
      </c>
      <c r="T6" s="35" t="s">
        <v>18</v>
      </c>
      <c r="X6" s="35" t="s">
        <v>17</v>
      </c>
      <c r="Y6" s="35" t="s">
        <v>18</v>
      </c>
    </row>
    <row r="7" spans="2:25" x14ac:dyDescent="0.2">
      <c r="B7" s="301" t="s">
        <v>97</v>
      </c>
      <c r="C7" s="301"/>
      <c r="D7" s="36">
        <f>IF(Input!R18="",0,Input!R18)</f>
        <v>0</v>
      </c>
      <c r="E7" s="36">
        <f>IF(Input!T18="",0,Input!T18)</f>
        <v>0</v>
      </c>
      <c r="G7" s="301" t="s">
        <v>20</v>
      </c>
      <c r="H7" s="301"/>
      <c r="I7" s="40" t="str">
        <f>IF(Input!R23="","",Input!R23)</f>
        <v/>
      </c>
      <c r="J7" s="40" t="str">
        <f>IF(Input!T23="","",Input!T23)</f>
        <v/>
      </c>
      <c r="L7" s="301" t="s">
        <v>38</v>
      </c>
      <c r="M7" s="301"/>
      <c r="N7" s="40" t="str">
        <f>IF(Input!AD5="","",Input!AD5)</f>
        <v/>
      </c>
      <c r="O7" s="40" t="str">
        <f>IF(Input!AF5="","",Input!AF5)</f>
        <v/>
      </c>
      <c r="Q7" s="299" t="s">
        <v>135</v>
      </c>
      <c r="R7" s="299"/>
      <c r="S7" s="40">
        <f>IF(Input!AD16="",0,Input!AD16)</f>
        <v>0</v>
      </c>
      <c r="T7" s="40">
        <f>IF(Input!AF16="",0,Input!AF16)</f>
        <v>0</v>
      </c>
      <c r="V7" s="126" t="s">
        <v>366</v>
      </c>
      <c r="W7" s="126"/>
      <c r="X7" s="40">
        <f>IF(Input!R37="",0,Input!R37*12)</f>
        <v>0</v>
      </c>
      <c r="Y7" s="40">
        <f>IF(Input!T37="",0,Input!T37*12)</f>
        <v>0</v>
      </c>
    </row>
    <row r="8" spans="2:25" x14ac:dyDescent="0.2">
      <c r="B8" s="302" t="s">
        <v>98</v>
      </c>
      <c r="C8" s="302"/>
      <c r="D8" s="38">
        <f>M!E8</f>
        <v>1</v>
      </c>
      <c r="E8" s="38">
        <f>M!E8</f>
        <v>1</v>
      </c>
      <c r="G8" s="301" t="s">
        <v>42</v>
      </c>
      <c r="H8" s="301"/>
      <c r="I8" s="40" t="str">
        <f>IF(Input!R25="","",Input!R25)</f>
        <v/>
      </c>
      <c r="J8" s="40" t="str">
        <f>IF(Input!T25="","",Input!T25)</f>
        <v/>
      </c>
      <c r="L8" s="301" t="s">
        <v>39</v>
      </c>
      <c r="M8" s="301"/>
      <c r="N8" s="43" t="str">
        <f>IF(Input!AD6="","",Input!AD6)</f>
        <v/>
      </c>
      <c r="O8" s="43" t="str">
        <f>IF(Input!AF6="","",Input!AF6)</f>
        <v/>
      </c>
      <c r="Q8" s="299" t="s">
        <v>136</v>
      </c>
      <c r="R8" s="299"/>
      <c r="S8" s="40">
        <f>IF(Input!AD17="",0,Input!AD17)</f>
        <v>0</v>
      </c>
      <c r="T8" s="40">
        <f>IF(Input!AF17="",0,Input!AF17)</f>
        <v>0</v>
      </c>
      <c r="V8" s="126"/>
      <c r="W8" s="126"/>
      <c r="X8" s="127"/>
      <c r="Y8" s="127"/>
    </row>
    <row r="9" spans="2:25" x14ac:dyDescent="0.2">
      <c r="B9" s="302" t="s">
        <v>100</v>
      </c>
      <c r="C9" s="302"/>
      <c r="D9" s="36">
        <f>D7*D8</f>
        <v>0</v>
      </c>
      <c r="E9" s="36">
        <f>E7*E8</f>
        <v>0</v>
      </c>
      <c r="G9" s="301" t="s">
        <v>43</v>
      </c>
      <c r="H9" s="301"/>
      <c r="I9" s="40" t="str">
        <f>IF(Input!R27="","",Input!R27)</f>
        <v/>
      </c>
      <c r="J9" s="40" t="str">
        <f>IF(Input!T27="","",Input!T27)</f>
        <v/>
      </c>
      <c r="Q9" s="299" t="s">
        <v>137</v>
      </c>
      <c r="R9" s="299"/>
      <c r="S9" s="40">
        <f>IF(Input!AD18="",0,Input!AD18)</f>
        <v>0</v>
      </c>
      <c r="T9" s="40">
        <f>IF(Input!AF18="",0,Input!AF18)</f>
        <v>0</v>
      </c>
      <c r="V9" s="126"/>
      <c r="W9" s="126"/>
      <c r="X9" s="126"/>
      <c r="Y9" s="126"/>
    </row>
    <row r="10" spans="2:25" x14ac:dyDescent="0.2">
      <c r="B10" s="299"/>
      <c r="C10" s="299"/>
      <c r="L10" s="299" t="s">
        <v>122</v>
      </c>
      <c r="M10" s="299"/>
      <c r="N10" s="40">
        <f>IF(Input!AD7="",0,Input!AD7)</f>
        <v>0</v>
      </c>
      <c r="O10" s="40">
        <f>IF(Input!AF7="",0,Input!AF7)</f>
        <v>0</v>
      </c>
      <c r="Q10" s="299"/>
      <c r="R10" s="299"/>
      <c r="V10" s="126"/>
      <c r="W10" s="126"/>
      <c r="X10" s="126"/>
      <c r="Y10" s="126"/>
    </row>
    <row r="11" spans="2:25" x14ac:dyDescent="0.2">
      <c r="B11" s="301" t="s">
        <v>99</v>
      </c>
      <c r="C11" s="301"/>
      <c r="D11" s="36">
        <f>Input!R19</f>
        <v>0</v>
      </c>
      <c r="E11" s="36">
        <f>Input!T19</f>
        <v>0</v>
      </c>
      <c r="G11" s="301" t="s">
        <v>106</v>
      </c>
      <c r="H11" s="301"/>
      <c r="I11" s="39">
        <f>IFERROR(VLOOKUP(I7,M!$B$13:$E$15,4,0),0)</f>
        <v>0</v>
      </c>
      <c r="J11" s="39">
        <f>IFERROR(VLOOKUP(J7,M!$B$13:$E$15,4,0),0)</f>
        <v>0</v>
      </c>
      <c r="L11" s="299" t="s">
        <v>123</v>
      </c>
      <c r="M11" s="299"/>
      <c r="N11" s="40">
        <f>IF(Input!AD8="",0,Input!AD8)</f>
        <v>0</v>
      </c>
      <c r="O11" s="40">
        <f>IF(Input!AF8="",0,Input!AF8)</f>
        <v>0</v>
      </c>
      <c r="Q11" s="299" t="s">
        <v>54</v>
      </c>
      <c r="R11" s="299"/>
      <c r="S11" s="40">
        <f>IF(Input!AD15="",0,Input!AD15)</f>
        <v>0</v>
      </c>
      <c r="T11" s="40">
        <f>IF(Input!AF15="",0,Input!AF15)</f>
        <v>0</v>
      </c>
      <c r="V11" s="126"/>
      <c r="W11" s="126"/>
      <c r="X11" s="126"/>
      <c r="Y11" s="126"/>
    </row>
    <row r="12" spans="2:25" x14ac:dyDescent="0.2">
      <c r="B12" s="302" t="s">
        <v>98</v>
      </c>
      <c r="C12" s="302"/>
      <c r="D12" s="38">
        <f>M!E9</f>
        <v>0.6</v>
      </c>
      <c r="E12" s="38">
        <f>M!E9</f>
        <v>0.6</v>
      </c>
      <c r="G12" s="301" t="s">
        <v>107</v>
      </c>
      <c r="H12" s="301"/>
      <c r="I12" s="39">
        <f>IFERROR(VLOOKUP(I8,M!$B$13:$E$15,4,0),0)</f>
        <v>0</v>
      </c>
      <c r="J12" s="39">
        <f>IFERROR(VLOOKUP(J8,M!$B$13:$E$15,4,0),0)</f>
        <v>0</v>
      </c>
      <c r="L12" s="299" t="s">
        <v>124</v>
      </c>
      <c r="M12" s="299"/>
      <c r="N12" s="40">
        <f>IF(Input!AD9="",0,Input!AD9)</f>
        <v>0</v>
      </c>
      <c r="O12" s="40">
        <f>IF(Input!AF9="",0,Input!AF9)</f>
        <v>0</v>
      </c>
      <c r="Q12" s="299" t="s">
        <v>138</v>
      </c>
      <c r="R12" s="299"/>
      <c r="S12" s="40">
        <f>IF(Input!AD19="",0,(Input!AD19*S$11))</f>
        <v>0</v>
      </c>
      <c r="T12" s="40">
        <f>IF(Input!AF19="",0,(Input!AF19*T$11))</f>
        <v>0</v>
      </c>
      <c r="V12" s="126"/>
      <c r="W12" s="126"/>
      <c r="X12" s="126"/>
      <c r="Y12" s="126"/>
    </row>
    <row r="13" spans="2:25" x14ac:dyDescent="0.2">
      <c r="B13" s="302" t="s">
        <v>100</v>
      </c>
      <c r="C13" s="302"/>
      <c r="D13" s="36">
        <f>D11*D12</f>
        <v>0</v>
      </c>
      <c r="E13" s="36">
        <f>E11*E12</f>
        <v>0</v>
      </c>
      <c r="G13" s="301" t="s">
        <v>108</v>
      </c>
      <c r="H13" s="301"/>
      <c r="I13" s="39">
        <f>IFERROR(VLOOKUP(I9,M!$B$13:$E$15,4,0),0)</f>
        <v>0</v>
      </c>
      <c r="J13" s="39">
        <f>IFERROR(VLOOKUP(J9,M!$B$13:$E$15,4,0),0)</f>
        <v>0</v>
      </c>
      <c r="L13" s="299" t="s">
        <v>125</v>
      </c>
      <c r="M13" s="299"/>
      <c r="N13" s="40">
        <f>IF(Input!AD10="",0,Input!AD10)</f>
        <v>0</v>
      </c>
      <c r="O13" s="40">
        <f>IF(Input!AF10="",0,Input!AF10)</f>
        <v>0</v>
      </c>
      <c r="Q13" s="299" t="s">
        <v>139</v>
      </c>
      <c r="R13" s="299"/>
      <c r="S13" s="40">
        <f>IF(Input!AD20="",0,(Input!AD20*S$11))</f>
        <v>0</v>
      </c>
      <c r="T13" s="40">
        <f>IF(Input!AF20="",0,(Input!AF20*T$11))</f>
        <v>0</v>
      </c>
      <c r="V13" s="126"/>
      <c r="W13" s="126"/>
      <c r="X13" s="126"/>
      <c r="Y13" s="126"/>
    </row>
    <row r="14" spans="2:25" x14ac:dyDescent="0.2">
      <c r="B14" s="299"/>
      <c r="C14" s="299"/>
      <c r="L14" s="299" t="s">
        <v>126</v>
      </c>
      <c r="M14" s="299"/>
      <c r="N14" s="40">
        <f>IF(Input!AD11="",0,Input!AD11)</f>
        <v>0</v>
      </c>
      <c r="O14" s="40">
        <f>IF(Input!AF11="",0,Input!AF11)</f>
        <v>0</v>
      </c>
      <c r="Q14" s="299" t="s">
        <v>140</v>
      </c>
      <c r="R14" s="299"/>
      <c r="S14" s="40">
        <f>IF(Input!AD21="",0,(Input!AD21*S$11))</f>
        <v>0</v>
      </c>
      <c r="T14" s="40">
        <f>IF(Input!AF21="",0,(Input!AF21*T$11))</f>
        <v>0</v>
      </c>
      <c r="V14" s="126"/>
      <c r="W14" s="126"/>
      <c r="X14" s="126"/>
      <c r="Y14" s="126"/>
    </row>
    <row r="15" spans="2:25" x14ac:dyDescent="0.2">
      <c r="B15" s="301" t="s">
        <v>101</v>
      </c>
      <c r="C15" s="301"/>
      <c r="D15" s="36">
        <f>D9+D13</f>
        <v>0</v>
      </c>
      <c r="E15" s="36">
        <f>E9+E13</f>
        <v>0</v>
      </c>
      <c r="G15" s="301" t="s">
        <v>109</v>
      </c>
      <c r="H15" s="301"/>
      <c r="I15" s="40">
        <f>IF(Input!R24="",0,Input!R24)</f>
        <v>0</v>
      </c>
      <c r="J15" s="40">
        <f>IF(Input!T24="",0,Input!T24)</f>
        <v>0</v>
      </c>
      <c r="L15" s="299" t="s">
        <v>127</v>
      </c>
      <c r="M15" s="299"/>
      <c r="N15" s="40">
        <f>IF(Input!AD12="",0,Input!AD12)</f>
        <v>0</v>
      </c>
      <c r="O15" s="40">
        <f>IF(Input!AF12="",0,Input!AF12)</f>
        <v>0</v>
      </c>
      <c r="Q15" s="299"/>
      <c r="R15" s="299"/>
      <c r="V15" s="126"/>
      <c r="W15" s="126"/>
      <c r="X15" s="126"/>
      <c r="Y15" s="126"/>
    </row>
    <row r="16" spans="2:25" x14ac:dyDescent="0.2">
      <c r="B16" s="299"/>
      <c r="C16" s="299"/>
      <c r="G16" s="301" t="s">
        <v>110</v>
      </c>
      <c r="H16" s="301"/>
      <c r="I16" s="40">
        <f>IF(Input!R26="",0,Input!R26)</f>
        <v>0</v>
      </c>
      <c r="J16" s="40">
        <f>IF(Input!T26="",0,Input!T26)</f>
        <v>0</v>
      </c>
      <c r="L16" s="299"/>
      <c r="M16" s="299"/>
      <c r="Q16" s="299" t="s">
        <v>141</v>
      </c>
      <c r="R16" s="299"/>
      <c r="S16" s="40">
        <f>IF(Input!AD22="",0,Input!AD22)</f>
        <v>0</v>
      </c>
      <c r="T16" s="40">
        <f>IF(Input!AF22="",0,Input!AF22)</f>
        <v>0</v>
      </c>
      <c r="V16" s="126"/>
      <c r="W16" s="126"/>
      <c r="X16" s="126"/>
      <c r="Y16" s="126"/>
    </row>
    <row r="17" spans="2:25" x14ac:dyDescent="0.2">
      <c r="B17" s="301" t="s">
        <v>102</v>
      </c>
      <c r="C17" s="301"/>
      <c r="D17" s="39">
        <f>M!E10</f>
        <v>0.05</v>
      </c>
      <c r="E17" s="39">
        <f>M!E10</f>
        <v>0.05</v>
      </c>
      <c r="G17" s="301" t="s">
        <v>111</v>
      </c>
      <c r="H17" s="301"/>
      <c r="I17" s="40">
        <f>IF(Input!R28="",0,Input!R28)</f>
        <v>0</v>
      </c>
      <c r="J17" s="40">
        <f>IF(Input!T28="",0,Input!T28)</f>
        <v>0</v>
      </c>
      <c r="L17" s="299" t="s">
        <v>128</v>
      </c>
      <c r="M17" s="299"/>
      <c r="N17" s="40">
        <f>IFERROR(IF(N$7="Sole Trader",N10,N$8*N10),0)</f>
        <v>0</v>
      </c>
      <c r="O17" s="40">
        <f>IFERROR(IF(O$7="Sole Trader",O10,O$8*O10),0)</f>
        <v>0</v>
      </c>
      <c r="Q17" s="299" t="s">
        <v>142</v>
      </c>
      <c r="R17" s="299"/>
      <c r="S17" s="40">
        <f>IF(Input!AD23="",0,Input!AD23)</f>
        <v>0</v>
      </c>
      <c r="T17" s="40">
        <f>IF(Input!AF23="",0,Input!AF23)</f>
        <v>0</v>
      </c>
      <c r="V17" s="126"/>
      <c r="W17" s="126"/>
      <c r="X17" s="126"/>
      <c r="Y17" s="126"/>
    </row>
    <row r="18" spans="2:25" x14ac:dyDescent="0.2">
      <c r="B18" s="301" t="s">
        <v>103</v>
      </c>
      <c r="C18" s="301"/>
      <c r="D18" s="39">
        <f>Input!R20</f>
        <v>0</v>
      </c>
      <c r="E18" s="39">
        <f>Input!T20</f>
        <v>0</v>
      </c>
      <c r="L18" s="299" t="s">
        <v>129</v>
      </c>
      <c r="M18" s="299"/>
      <c r="N18" s="40">
        <f t="shared" ref="N18:O19" si="0">IFERROR(IF(N$7="Sole Trader",N11,N$8*N11),0)</f>
        <v>0</v>
      </c>
      <c r="O18" s="40">
        <f t="shared" si="0"/>
        <v>0</v>
      </c>
      <c r="Q18" s="299" t="s">
        <v>143</v>
      </c>
      <c r="R18" s="299"/>
      <c r="S18" s="40">
        <f>IF(Input!AD24="",0,Input!AD24)</f>
        <v>0</v>
      </c>
      <c r="T18" s="40">
        <f>IF(Input!AF24="",0,Input!AF24)</f>
        <v>0</v>
      </c>
      <c r="V18" s="126"/>
      <c r="W18" s="126"/>
      <c r="X18" s="126"/>
      <c r="Y18" s="126"/>
    </row>
    <row r="19" spans="2:25" x14ac:dyDescent="0.2">
      <c r="B19" s="301" t="s">
        <v>91</v>
      </c>
      <c r="C19" s="301"/>
      <c r="D19" s="39">
        <f>MAX(D17:D18)</f>
        <v>0.05</v>
      </c>
      <c r="E19" s="39">
        <f>MAX(E17:E18)</f>
        <v>0.05</v>
      </c>
      <c r="G19" s="301" t="s">
        <v>112</v>
      </c>
      <c r="H19" s="301"/>
      <c r="I19" s="40">
        <f>I11*I15</f>
        <v>0</v>
      </c>
      <c r="J19" s="40">
        <f>J11*J15</f>
        <v>0</v>
      </c>
      <c r="L19" s="299" t="s">
        <v>130</v>
      </c>
      <c r="M19" s="299"/>
      <c r="N19" s="40">
        <f t="shared" si="0"/>
        <v>0</v>
      </c>
      <c r="O19" s="40">
        <f t="shared" si="0"/>
        <v>0</v>
      </c>
      <c r="Q19" s="299"/>
      <c r="R19" s="299"/>
      <c r="V19" s="126"/>
      <c r="W19" s="126"/>
      <c r="X19" s="126"/>
      <c r="Y19" s="126"/>
    </row>
    <row r="20" spans="2:25" x14ac:dyDescent="0.2">
      <c r="B20" s="301" t="s">
        <v>104</v>
      </c>
      <c r="C20" s="301"/>
      <c r="D20" s="36">
        <f>D15*D19</f>
        <v>0</v>
      </c>
      <c r="E20" s="36">
        <f>E15*E19</f>
        <v>0</v>
      </c>
      <c r="G20" s="301" t="s">
        <v>113</v>
      </c>
      <c r="H20" s="301"/>
      <c r="I20" s="40">
        <f t="shared" ref="I20:J21" si="1">I12*I16</f>
        <v>0</v>
      </c>
      <c r="J20" s="40">
        <f t="shared" si="1"/>
        <v>0</v>
      </c>
      <c r="L20" s="299"/>
      <c r="M20" s="299"/>
      <c r="Q20" s="299" t="s">
        <v>144</v>
      </c>
      <c r="R20" s="299"/>
      <c r="S20" s="40">
        <f>MIN(S12,S16)</f>
        <v>0</v>
      </c>
      <c r="T20" s="40">
        <f>MIN(T12,T16)</f>
        <v>0</v>
      </c>
      <c r="V20" s="126"/>
      <c r="W20" s="126"/>
      <c r="X20" s="126"/>
      <c r="Y20" s="126"/>
    </row>
    <row r="21" spans="2:25" x14ac:dyDescent="0.2">
      <c r="G21" s="301" t="s">
        <v>114</v>
      </c>
      <c r="H21" s="301"/>
      <c r="I21" s="40">
        <f t="shared" si="1"/>
        <v>0</v>
      </c>
      <c r="J21" s="40">
        <f t="shared" si="1"/>
        <v>0</v>
      </c>
      <c r="L21" s="299" t="s">
        <v>131</v>
      </c>
      <c r="M21" s="299"/>
      <c r="N21" s="40">
        <f>MIN(N13,N17)</f>
        <v>0</v>
      </c>
      <c r="O21" s="40">
        <f>MIN(O13,O17)</f>
        <v>0</v>
      </c>
      <c r="Q21" s="299" t="s">
        <v>145</v>
      </c>
      <c r="R21" s="299"/>
      <c r="S21" s="40">
        <f t="shared" ref="S21:T22" si="2">MIN(S13,S17)</f>
        <v>0</v>
      </c>
      <c r="T21" s="40">
        <f t="shared" si="2"/>
        <v>0</v>
      </c>
      <c r="V21" s="126"/>
      <c r="W21" s="126"/>
      <c r="X21" s="126"/>
      <c r="Y21" s="126"/>
    </row>
    <row r="22" spans="2:25" x14ac:dyDescent="0.2">
      <c r="L22" s="299" t="s">
        <v>132</v>
      </c>
      <c r="M22" s="299"/>
      <c r="N22" s="40">
        <f t="shared" ref="N22:O22" si="3">MIN(N14,N18)</f>
        <v>0</v>
      </c>
      <c r="O22" s="40">
        <f t="shared" si="3"/>
        <v>0</v>
      </c>
      <c r="Q22" s="299" t="s">
        <v>146</v>
      </c>
      <c r="R22" s="299"/>
      <c r="S22" s="40">
        <f t="shared" si="2"/>
        <v>0</v>
      </c>
      <c r="T22" s="40">
        <f t="shared" si="2"/>
        <v>0</v>
      </c>
      <c r="V22" s="126"/>
      <c r="W22" s="126"/>
      <c r="X22" s="126"/>
      <c r="Y22" s="126"/>
    </row>
    <row r="23" spans="2:25" x14ac:dyDescent="0.2">
      <c r="L23" s="299" t="s">
        <v>133</v>
      </c>
      <c r="M23" s="299"/>
      <c r="N23" s="40">
        <f t="shared" ref="N23:O23" si="4">MIN(N15,N19)</f>
        <v>0</v>
      </c>
      <c r="O23" s="40">
        <f t="shared" si="4"/>
        <v>0</v>
      </c>
      <c r="Q23" s="124"/>
      <c r="R23" s="124"/>
      <c r="S23" s="36">
        <f>IFERROR(MIN(AVERAGE(S20:S22),S20),0)</f>
        <v>0</v>
      </c>
      <c r="T23" s="36">
        <f>IFERROR(MIN(AVERAGE(T20:T22),T20),0)</f>
        <v>0</v>
      </c>
      <c r="V23" s="126"/>
      <c r="W23" s="126"/>
      <c r="X23" s="126"/>
      <c r="Y23" s="126"/>
    </row>
    <row r="24" spans="2:25" x14ac:dyDescent="0.2">
      <c r="L24" s="299"/>
      <c r="M24" s="299"/>
      <c r="Q24" s="123"/>
      <c r="R24" s="123"/>
      <c r="S24" s="125"/>
      <c r="T24" s="125"/>
      <c r="V24" s="126"/>
      <c r="W24" s="126"/>
      <c r="X24" s="126"/>
      <c r="Y24" s="126"/>
    </row>
    <row r="25" spans="2:25" x14ac:dyDescent="0.2">
      <c r="L25" s="124"/>
      <c r="M25" s="124"/>
      <c r="Q25" s="299" t="s">
        <v>361</v>
      </c>
      <c r="R25" s="299"/>
      <c r="S25" s="36">
        <f t="shared" ref="S25:T27" si="5">S7+S20</f>
        <v>0</v>
      </c>
      <c r="T25" s="36">
        <f t="shared" si="5"/>
        <v>0</v>
      </c>
      <c r="V25" s="126"/>
      <c r="W25" s="126"/>
      <c r="X25" s="126"/>
      <c r="Y25" s="126"/>
    </row>
    <row r="26" spans="2:25" x14ac:dyDescent="0.2">
      <c r="L26" s="124"/>
      <c r="M26" s="124"/>
      <c r="Q26" s="299" t="s">
        <v>362</v>
      </c>
      <c r="R26" s="299"/>
      <c r="S26" s="36">
        <f t="shared" si="5"/>
        <v>0</v>
      </c>
      <c r="T26" s="36">
        <f t="shared" si="5"/>
        <v>0</v>
      </c>
      <c r="V26" s="126"/>
      <c r="W26" s="126"/>
      <c r="X26" s="126"/>
      <c r="Y26" s="126"/>
    </row>
    <row r="27" spans="2:25" x14ac:dyDescent="0.2">
      <c r="L27" s="124"/>
      <c r="M27" s="124"/>
      <c r="Q27" s="299" t="s">
        <v>363</v>
      </c>
      <c r="R27" s="299"/>
      <c r="S27" s="36">
        <f t="shared" si="5"/>
        <v>0</v>
      </c>
      <c r="T27" s="36">
        <f t="shared" si="5"/>
        <v>0</v>
      </c>
      <c r="V27" s="126"/>
      <c r="W27" s="126"/>
      <c r="X27" s="126"/>
      <c r="Y27" s="126"/>
    </row>
    <row r="28" spans="2:25" x14ac:dyDescent="0.2">
      <c r="L28" s="299"/>
      <c r="M28" s="299"/>
      <c r="Q28" s="299"/>
      <c r="R28" s="299"/>
      <c r="V28" s="299"/>
      <c r="W28" s="299"/>
    </row>
    <row r="29" spans="2:25" ht="18.75" x14ac:dyDescent="0.3">
      <c r="B29" s="300" t="s">
        <v>105</v>
      </c>
      <c r="C29" s="300"/>
      <c r="D29" s="44">
        <f>D15-D20</f>
        <v>0</v>
      </c>
      <c r="E29" s="44">
        <f>E15-E20</f>
        <v>0</v>
      </c>
      <c r="F29" s="42"/>
      <c r="G29" s="300" t="s">
        <v>105</v>
      </c>
      <c r="H29" s="300"/>
      <c r="I29" s="44">
        <f>SUM(I19:I21)</f>
        <v>0</v>
      </c>
      <c r="J29" s="44">
        <f>SUM(J19:J21)</f>
        <v>0</v>
      </c>
      <c r="K29" s="42"/>
      <c r="L29" s="300" t="s">
        <v>105</v>
      </c>
      <c r="M29" s="300"/>
      <c r="N29" s="44">
        <f>IFERROR(MIN(AVERAGE(N21:N23),N21),0)</f>
        <v>0</v>
      </c>
      <c r="O29" s="44">
        <f>IFERROR(MIN(AVERAGE(O21:O23),O21),0)</f>
        <v>0</v>
      </c>
      <c r="Q29" s="42" t="s">
        <v>105</v>
      </c>
      <c r="R29" s="42"/>
      <c r="S29" s="44">
        <f>IFERROR(MIN(AVERAGE(S25:S27),S25),0)</f>
        <v>0</v>
      </c>
      <c r="T29" s="44">
        <f>IFERROR(MIN(AVERAGE(T25:T27),T25),0)</f>
        <v>0</v>
      </c>
      <c r="V29" s="42" t="s">
        <v>105</v>
      </c>
      <c r="W29" s="42"/>
      <c r="X29" s="44">
        <f>X7+X8</f>
        <v>0</v>
      </c>
      <c r="Y29" s="44">
        <f>Y7+Y8</f>
        <v>0</v>
      </c>
    </row>
    <row r="31" spans="2:25" s="42" customFormat="1" ht="18.75" x14ac:dyDescent="0.3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Q31" s="37"/>
      <c r="R31" s="37"/>
      <c r="S31" s="37"/>
      <c r="T31" s="37"/>
      <c r="V31" s="37"/>
      <c r="W31" s="37"/>
      <c r="X31" s="37"/>
      <c r="Y31" s="37"/>
    </row>
  </sheetData>
  <mergeCells count="68">
    <mergeCell ref="V28:W28"/>
    <mergeCell ref="Q11:R11"/>
    <mergeCell ref="Q26:R26"/>
    <mergeCell ref="Q27:R27"/>
    <mergeCell ref="B18:C18"/>
    <mergeCell ref="B12:C12"/>
    <mergeCell ref="G16:H16"/>
    <mergeCell ref="G17:H17"/>
    <mergeCell ref="G19:H19"/>
    <mergeCell ref="G20:H20"/>
    <mergeCell ref="G21:H21"/>
    <mergeCell ref="L19:M19"/>
    <mergeCell ref="L13:M13"/>
    <mergeCell ref="L14:M14"/>
    <mergeCell ref="L15:M15"/>
    <mergeCell ref="L16:M16"/>
    <mergeCell ref="B7:C7"/>
    <mergeCell ref="B8:C8"/>
    <mergeCell ref="B9:C9"/>
    <mergeCell ref="B10:C10"/>
    <mergeCell ref="B11:C11"/>
    <mergeCell ref="G29:H29"/>
    <mergeCell ref="B19:C19"/>
    <mergeCell ref="B20:C20"/>
    <mergeCell ref="B29:C29"/>
    <mergeCell ref="G7:H7"/>
    <mergeCell ref="G8:H8"/>
    <mergeCell ref="G9:H9"/>
    <mergeCell ref="G11:H11"/>
    <mergeCell ref="G12:H12"/>
    <mergeCell ref="G13:H13"/>
    <mergeCell ref="G15:H15"/>
    <mergeCell ref="B13:C13"/>
    <mergeCell ref="B14:C14"/>
    <mergeCell ref="B15:C15"/>
    <mergeCell ref="B16:C16"/>
    <mergeCell ref="B17:C17"/>
    <mergeCell ref="L7:M7"/>
    <mergeCell ref="L8:M8"/>
    <mergeCell ref="L10:M10"/>
    <mergeCell ref="L11:M11"/>
    <mergeCell ref="L12:M12"/>
    <mergeCell ref="L17:M17"/>
    <mergeCell ref="L18:M18"/>
    <mergeCell ref="L28:M28"/>
    <mergeCell ref="L29:M29"/>
    <mergeCell ref="Q7:R7"/>
    <mergeCell ref="Q8:R8"/>
    <mergeCell ref="Q9:R9"/>
    <mergeCell ref="Q10:R10"/>
    <mergeCell ref="Q12:R12"/>
    <mergeCell ref="Q13:R13"/>
    <mergeCell ref="Q14:R14"/>
    <mergeCell ref="L20:M20"/>
    <mergeCell ref="L21:M21"/>
    <mergeCell ref="L22:M22"/>
    <mergeCell ref="L23:M23"/>
    <mergeCell ref="L24:M24"/>
    <mergeCell ref="Q28:R28"/>
    <mergeCell ref="Q15:R15"/>
    <mergeCell ref="Q16:R16"/>
    <mergeCell ref="Q17:R17"/>
    <mergeCell ref="Q18:R18"/>
    <mergeCell ref="Q19:R19"/>
    <mergeCell ref="Q20:R20"/>
    <mergeCell ref="Q21:R21"/>
    <mergeCell ref="Q22:R22"/>
    <mergeCell ref="Q25:R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D348D-FED9-4B97-ADC2-9E2C359B63FA}">
  <sheetPr codeName="Sheet4"/>
  <dimension ref="B3:E14"/>
  <sheetViews>
    <sheetView workbookViewId="0">
      <selection activeCell="D10" sqref="D10"/>
    </sheetView>
  </sheetViews>
  <sheetFormatPr defaultColWidth="10.7109375" defaultRowHeight="15" x14ac:dyDescent="0.25"/>
  <cols>
    <col min="1" max="3" width="10.7109375" style="14"/>
    <col min="4" max="5" width="20.7109375" style="14" customWidth="1"/>
    <col min="6" max="16384" width="10.7109375" style="14"/>
  </cols>
  <sheetData>
    <row r="3" spans="2:5" x14ac:dyDescent="0.25">
      <c r="D3" s="15" t="s">
        <v>68</v>
      </c>
      <c r="E3" s="15" t="s">
        <v>69</v>
      </c>
    </row>
    <row r="4" spans="2:5" x14ac:dyDescent="0.25">
      <c r="B4" s="304" t="s">
        <v>314</v>
      </c>
      <c r="C4" s="304"/>
      <c r="D4" s="13" t="str">
        <f>IF(Input!P14="","",Input!P14)</f>
        <v/>
      </c>
      <c r="E4" s="13" t="str">
        <f>IF(Input!S14="","",Input!S14)</f>
        <v/>
      </c>
    </row>
    <row r="5" spans="2:5" x14ac:dyDescent="0.25">
      <c r="B5" s="303" t="s">
        <v>313</v>
      </c>
      <c r="C5" s="303"/>
      <c r="D5" s="13" t="str">
        <f>IF(D4="","",VLOOKUP(D4,M!$M$8:$P$12,3,0))</f>
        <v/>
      </c>
      <c r="E5" s="13" t="str">
        <f>IF(E4="","",VLOOKUP(E4,M!$M$8:$P$12,3,0))</f>
        <v/>
      </c>
    </row>
    <row r="6" spans="2:5" x14ac:dyDescent="0.25">
      <c r="B6" s="303" t="s">
        <v>315</v>
      </c>
      <c r="C6" s="303"/>
      <c r="D6" s="13" t="str">
        <f>IF(D4="","",VLOOKUP(D4,M!$M$8:$P$12,4,0))</f>
        <v/>
      </c>
      <c r="E6" s="13" t="str">
        <f>IF(E4="","",VLOOKUP(E4,M!$M$8:$P$12,4,0))</f>
        <v/>
      </c>
    </row>
    <row r="7" spans="2:5" x14ac:dyDescent="0.25">
      <c r="B7" s="303" t="s">
        <v>316</v>
      </c>
      <c r="C7" s="303"/>
      <c r="D7" s="13">
        <f>GrsIncSum!D29+GrsIncSum!N29+GrsIncSum!S29</f>
        <v>0</v>
      </c>
      <c r="E7" s="13">
        <f>GrsIncSum!E29+GrsIncSum!O29+GrsIncSum!T29</f>
        <v>0</v>
      </c>
    </row>
    <row r="8" spans="2:5" x14ac:dyDescent="0.25">
      <c r="B8" s="303" t="s">
        <v>317</v>
      </c>
      <c r="C8" s="303"/>
      <c r="D8" s="13" t="str">
        <f>IF(D4="","",MAX(0,(D7-D5)))</f>
        <v/>
      </c>
      <c r="E8" s="13" t="str">
        <f>IF(E4="","",MAX(0,(E7-E5)))</f>
        <v/>
      </c>
    </row>
    <row r="9" spans="2:5" x14ac:dyDescent="0.25">
      <c r="B9" s="303" t="s">
        <v>318</v>
      </c>
      <c r="C9" s="303"/>
      <c r="D9" s="45">
        <f>IF(OR(D8&lt;=0,D8=""),0,D8*D6)</f>
        <v>0</v>
      </c>
      <c r="E9" s="45">
        <f>IF(OR(E8&lt;=0,E8=""),0,E8*E6)</f>
        <v>0</v>
      </c>
    </row>
    <row r="10" spans="2:5" x14ac:dyDescent="0.25">
      <c r="B10" s="303"/>
      <c r="C10" s="303"/>
    </row>
    <row r="11" spans="2:5" x14ac:dyDescent="0.25">
      <c r="B11" s="303"/>
      <c r="C11" s="303"/>
    </row>
    <row r="12" spans="2:5" x14ac:dyDescent="0.25">
      <c r="B12" s="303"/>
      <c r="C12" s="303"/>
    </row>
    <row r="13" spans="2:5" x14ac:dyDescent="0.25">
      <c r="B13" s="303"/>
      <c r="C13" s="303"/>
    </row>
    <row r="14" spans="2:5" x14ac:dyDescent="0.25">
      <c r="B14" s="303"/>
      <c r="C14" s="303"/>
    </row>
  </sheetData>
  <mergeCells count="11">
    <mergeCell ref="B14:C14"/>
    <mergeCell ref="B4:C4"/>
    <mergeCell ref="B7:C7"/>
    <mergeCell ref="B8:C8"/>
    <mergeCell ref="B6:C6"/>
    <mergeCell ref="B5:C5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CEAE8-AFFB-458F-8885-E0DD29E487EF}">
  <sheetPr codeName="Sheet5"/>
  <dimension ref="B2:X53"/>
  <sheetViews>
    <sheetView zoomScale="80" zoomScaleNormal="80" workbookViewId="0">
      <selection activeCell="D10" sqref="D10"/>
    </sheetView>
  </sheetViews>
  <sheetFormatPr defaultColWidth="10.7109375" defaultRowHeight="15" x14ac:dyDescent="0.25"/>
  <cols>
    <col min="1" max="1" width="4.7109375" style="14" customWidth="1"/>
    <col min="2" max="4" width="10.7109375" style="14"/>
    <col min="5" max="5" width="10.7109375" style="14" customWidth="1"/>
    <col min="6" max="7" width="4.7109375" style="14" customWidth="1"/>
    <col min="8" max="11" width="10.7109375" style="14" customWidth="1"/>
    <col min="12" max="12" width="4.7109375" style="14" customWidth="1"/>
    <col min="13" max="16384" width="10.7109375" style="14"/>
  </cols>
  <sheetData>
    <row r="2" spans="2:21" x14ac:dyDescent="0.25">
      <c r="B2" s="15" t="s">
        <v>167</v>
      </c>
      <c r="D2" s="15" t="s">
        <v>17</v>
      </c>
      <c r="E2" s="15" t="s">
        <v>18</v>
      </c>
      <c r="M2" s="15"/>
      <c r="N2" s="15"/>
      <c r="O2" s="15" t="s">
        <v>17</v>
      </c>
      <c r="P2" s="15" t="s">
        <v>18</v>
      </c>
      <c r="R2" s="15" t="s">
        <v>85</v>
      </c>
      <c r="T2" s="15" t="s">
        <v>17</v>
      </c>
      <c r="U2" s="15" t="s">
        <v>18</v>
      </c>
    </row>
    <row r="3" spans="2:21" x14ac:dyDescent="0.25">
      <c r="B3" s="15"/>
      <c r="D3" s="15"/>
      <c r="E3" s="15"/>
      <c r="M3" s="15"/>
      <c r="R3" s="15"/>
      <c r="T3" s="15"/>
      <c r="U3" s="15"/>
    </row>
    <row r="4" spans="2:21" x14ac:dyDescent="0.25">
      <c r="B4" s="15" t="s">
        <v>203</v>
      </c>
      <c r="D4" s="15"/>
      <c r="E4" s="15"/>
      <c r="H4" s="15" t="s">
        <v>209</v>
      </c>
      <c r="M4" s="15" t="s">
        <v>204</v>
      </c>
      <c r="R4" s="304" t="s">
        <v>183</v>
      </c>
      <c r="S4" s="304"/>
      <c r="T4" s="29" t="str">
        <f>IF(Input!S8="","",Input!S8)</f>
        <v/>
      </c>
      <c r="U4" s="29" t="str">
        <f>IF(Input!S9="","",Input!S9)</f>
        <v/>
      </c>
    </row>
    <row r="5" spans="2:21" x14ac:dyDescent="0.25">
      <c r="D5" s="15"/>
      <c r="E5" s="15"/>
      <c r="R5" s="304" t="s">
        <v>184</v>
      </c>
      <c r="S5" s="304"/>
      <c r="T5" s="48" t="str">
        <f>IF(Input!S6="","",Input!S6)</f>
        <v/>
      </c>
      <c r="U5" s="48" t="str">
        <f>IF(Input!S7="","",Input!S7)</f>
        <v/>
      </c>
    </row>
    <row r="6" spans="2:21" x14ac:dyDescent="0.25">
      <c r="B6" s="304" t="s">
        <v>168</v>
      </c>
      <c r="C6" s="304"/>
      <c r="D6" s="13">
        <f>GrsIncSum!D29+GrsIncSum!I29+GrsIncSum!N29+(GrsIncSum!S29-GrsIncSum!S23)+GrsIncSum!X29</f>
        <v>0</v>
      </c>
      <c r="E6" s="13">
        <f>GrsIncSum!E29+GrsIncSum!J29+GrsIncSum!O29+(GrsIncSum!T29-GrsIncSum!T23)+GrsIncSum!Y29</f>
        <v>0</v>
      </c>
      <c r="M6" s="304" t="s">
        <v>168</v>
      </c>
      <c r="N6" s="304"/>
      <c r="O6" s="13">
        <f>GrsIncSum!S23</f>
        <v>0</v>
      </c>
      <c r="P6" s="13">
        <f>GrsIncSum!T23</f>
        <v>0</v>
      </c>
      <c r="R6" s="304" t="s">
        <v>185</v>
      </c>
      <c r="S6" s="304"/>
      <c r="T6" s="45">
        <f>IF(OR(T4="",T5=""),0,IF(T5&gt;=T4,1,0))</f>
        <v>0</v>
      </c>
      <c r="U6" s="45">
        <f>IF(OR(U4="",U5=""),0,IF(U5&gt;=U4,1,0))</f>
        <v>0</v>
      </c>
    </row>
    <row r="7" spans="2:21" x14ac:dyDescent="0.25">
      <c r="B7" s="303"/>
      <c r="C7" s="303"/>
    </row>
    <row r="8" spans="2:21" x14ac:dyDescent="0.25">
      <c r="B8" s="53" t="s">
        <v>205</v>
      </c>
      <c r="C8" s="53"/>
      <c r="M8" s="304" t="s">
        <v>153</v>
      </c>
      <c r="N8" s="304"/>
    </row>
    <row r="9" spans="2:21" x14ac:dyDescent="0.25">
      <c r="B9" s="303" t="s">
        <v>154</v>
      </c>
      <c r="C9" s="303"/>
      <c r="D9" s="54">
        <v>0</v>
      </c>
      <c r="E9" s="54">
        <v>0</v>
      </c>
      <c r="J9" s="15" t="s">
        <v>211</v>
      </c>
      <c r="K9" s="15" t="s">
        <v>18</v>
      </c>
      <c r="M9" s="303" t="s">
        <v>154</v>
      </c>
      <c r="N9" s="303"/>
      <c r="O9" s="54">
        <v>0</v>
      </c>
      <c r="P9" s="54">
        <v>0</v>
      </c>
      <c r="R9" s="304" t="s">
        <v>168</v>
      </c>
      <c r="S9" s="304"/>
      <c r="T9" s="13">
        <f>D6</f>
        <v>0</v>
      </c>
      <c r="U9" s="13">
        <f>E6</f>
        <v>0</v>
      </c>
    </row>
    <row r="10" spans="2:21" x14ac:dyDescent="0.25">
      <c r="B10" s="303" t="s">
        <v>155</v>
      </c>
      <c r="C10" s="303"/>
      <c r="D10" s="54">
        <f>MAX(MAX(0,M!$J$8-(Input!R31*12))-(MAX(0,D6-100000)/2),0)</f>
        <v>12570</v>
      </c>
      <c r="E10" s="54">
        <f>MAX(MAX(0,M!$J$8-(Input!T31*12))-(MAX(0,E6-100000)/2),0)</f>
        <v>12570</v>
      </c>
      <c r="H10" s="15" t="s">
        <v>80</v>
      </c>
      <c r="J10" s="45">
        <f>MAX(0,D10-D6)</f>
        <v>12570</v>
      </c>
      <c r="K10" s="45">
        <f>MAX(0,D10-E6)</f>
        <v>12570</v>
      </c>
      <c r="M10" s="303" t="s">
        <v>155</v>
      </c>
      <c r="N10" s="303"/>
      <c r="O10" s="56">
        <f>J10+2000</f>
        <v>14570</v>
      </c>
      <c r="P10" s="56">
        <f>K10+2000</f>
        <v>14570</v>
      </c>
    </row>
    <row r="11" spans="2:21" x14ac:dyDescent="0.25">
      <c r="B11" s="303" t="s">
        <v>156</v>
      </c>
      <c r="C11" s="303"/>
      <c r="D11" s="307">
        <f>M!K8</f>
        <v>0</v>
      </c>
      <c r="E11" s="307"/>
      <c r="H11" s="15" t="s">
        <v>210</v>
      </c>
      <c r="J11" s="45">
        <f>MAX(0,MIN((D17-D16),((D17-D16)-(D6-D10))))</f>
        <v>37700</v>
      </c>
      <c r="K11" s="45">
        <f>MAX(0,MIN((D17-D16),((D17-D16)-(E6-D10))))</f>
        <v>37700</v>
      </c>
      <c r="M11" s="303" t="s">
        <v>156</v>
      </c>
      <c r="N11" s="303"/>
      <c r="O11" s="307">
        <f>M!K16</f>
        <v>0</v>
      </c>
      <c r="P11" s="308"/>
      <c r="R11" s="304" t="s">
        <v>169</v>
      </c>
      <c r="S11" s="304"/>
    </row>
    <row r="12" spans="2:21" x14ac:dyDescent="0.25">
      <c r="B12" s="304" t="s">
        <v>157</v>
      </c>
      <c r="C12" s="304"/>
      <c r="D12" s="45">
        <f>MIN($D$10,D6)</f>
        <v>0</v>
      </c>
      <c r="E12" s="45">
        <f>MIN($E$10,E6)</f>
        <v>0</v>
      </c>
      <c r="H12" s="15" t="s">
        <v>82</v>
      </c>
      <c r="J12" s="45">
        <f>MAX(0,MIN((D24-D23),(D24-D6)))</f>
        <v>74870</v>
      </c>
      <c r="K12" s="45">
        <f>MAX(0,MIN((D24-D23),(D24-E6)))</f>
        <v>74870</v>
      </c>
      <c r="M12" s="304" t="s">
        <v>157</v>
      </c>
      <c r="N12" s="304"/>
      <c r="O12" s="45">
        <f>MIN($O$10,O6)</f>
        <v>0</v>
      </c>
      <c r="P12" s="45">
        <f>MIN($P$10,P6)</f>
        <v>0</v>
      </c>
      <c r="R12" s="303" t="s">
        <v>154</v>
      </c>
      <c r="S12" s="303"/>
      <c r="T12" s="312">
        <f>M!I23</f>
        <v>0</v>
      </c>
      <c r="U12" s="310"/>
    </row>
    <row r="13" spans="2:21" x14ac:dyDescent="0.25">
      <c r="B13" s="304" t="s">
        <v>158</v>
      </c>
      <c r="C13" s="304"/>
      <c r="D13" s="13">
        <f>D12*$D$11</f>
        <v>0</v>
      </c>
      <c r="E13" s="13">
        <f>E12*$D$11</f>
        <v>0</v>
      </c>
      <c r="H13" s="15" t="s">
        <v>83</v>
      </c>
      <c r="J13" s="45">
        <f>MAX(0,MIN((D31-D30),(D31-D6)))</f>
        <v>9874860</v>
      </c>
      <c r="K13" s="45">
        <f>MAX(0,MIN((D31-D30),(D31-E6)))</f>
        <v>9874860</v>
      </c>
      <c r="M13" s="304" t="s">
        <v>158</v>
      </c>
      <c r="N13" s="304"/>
      <c r="O13" s="13">
        <f>O12*$D$11</f>
        <v>0</v>
      </c>
      <c r="P13" s="13">
        <f>P12*$D$11</f>
        <v>0</v>
      </c>
      <c r="R13" s="303" t="s">
        <v>155</v>
      </c>
      <c r="S13" s="303"/>
      <c r="T13" s="312">
        <f>M!J23</f>
        <v>12570</v>
      </c>
      <c r="U13" s="310"/>
    </row>
    <row r="14" spans="2:21" x14ac:dyDescent="0.25">
      <c r="B14" s="303"/>
      <c r="C14" s="303"/>
      <c r="M14" s="303"/>
      <c r="N14" s="303"/>
      <c r="R14" s="303" t="s">
        <v>170</v>
      </c>
      <c r="S14" s="303"/>
      <c r="T14" s="311">
        <f>M!K23</f>
        <v>0</v>
      </c>
      <c r="U14" s="310"/>
    </row>
    <row r="15" spans="2:21" x14ac:dyDescent="0.25">
      <c r="B15" s="53" t="s">
        <v>206</v>
      </c>
      <c r="C15" s="53"/>
      <c r="M15" s="304" t="s">
        <v>159</v>
      </c>
      <c r="N15" s="304"/>
      <c r="R15" s="304" t="s">
        <v>157</v>
      </c>
      <c r="S15" s="304"/>
      <c r="T15" s="45">
        <f>MIN($T$13,T9)</f>
        <v>0</v>
      </c>
      <c r="U15" s="45">
        <f>MIN($T$13,U9)</f>
        <v>0</v>
      </c>
    </row>
    <row r="16" spans="2:21" x14ac:dyDescent="0.25">
      <c r="B16" s="303" t="s">
        <v>154</v>
      </c>
      <c r="C16" s="303"/>
      <c r="D16" s="54">
        <f>D10</f>
        <v>12570</v>
      </c>
      <c r="E16" s="54">
        <f>E10</f>
        <v>12570</v>
      </c>
      <c r="M16" s="303" t="s">
        <v>154</v>
      </c>
      <c r="N16" s="303"/>
      <c r="O16" s="56">
        <f>O10</f>
        <v>14570</v>
      </c>
      <c r="P16" s="56">
        <f>P10</f>
        <v>14570</v>
      </c>
      <c r="R16" s="304" t="s">
        <v>172</v>
      </c>
      <c r="S16" s="304"/>
      <c r="T16" s="13">
        <f>T15*$T$14</f>
        <v>0</v>
      </c>
      <c r="U16" s="13">
        <f>U15*$T$14</f>
        <v>0</v>
      </c>
    </row>
    <row r="17" spans="2:21" x14ac:dyDescent="0.25">
      <c r="B17" s="303" t="s">
        <v>155</v>
      </c>
      <c r="C17" s="303"/>
      <c r="D17" s="54">
        <f>D16+(M!$J$17-M!$I$17)</f>
        <v>50270</v>
      </c>
      <c r="E17" s="54">
        <f>E16+(M!$J$17-M!$I$17)</f>
        <v>50270</v>
      </c>
      <c r="M17" s="303" t="s">
        <v>155</v>
      </c>
      <c r="N17" s="303"/>
      <c r="O17" s="54">
        <f>M!$J$17</f>
        <v>50270</v>
      </c>
      <c r="P17" s="54">
        <f>M!$J$17</f>
        <v>50270</v>
      </c>
    </row>
    <row r="18" spans="2:21" x14ac:dyDescent="0.25">
      <c r="B18" s="303" t="s">
        <v>156</v>
      </c>
      <c r="C18" s="303"/>
      <c r="D18" s="307">
        <f>M!K9</f>
        <v>0.2</v>
      </c>
      <c r="E18" s="307"/>
      <c r="M18" s="303" t="s">
        <v>156</v>
      </c>
      <c r="N18" s="303"/>
      <c r="O18" s="307">
        <f>M!K17</f>
        <v>8.7499999999999994E-2</v>
      </c>
      <c r="P18" s="308"/>
      <c r="R18" s="304" t="s">
        <v>171</v>
      </c>
      <c r="S18" s="304"/>
    </row>
    <row r="19" spans="2:21" x14ac:dyDescent="0.25">
      <c r="B19" s="304" t="s">
        <v>157</v>
      </c>
      <c r="C19" s="304"/>
      <c r="D19" s="45">
        <f>MAX(0,MIN(D17-D16,D6-D16))</f>
        <v>0</v>
      </c>
      <c r="E19" s="45">
        <f>MAX(0,MIN(E17-E16,E6-E16))</f>
        <v>0</v>
      </c>
      <c r="M19" s="304" t="s">
        <v>157</v>
      </c>
      <c r="N19" s="304"/>
      <c r="O19" s="45">
        <f>MAX(0,MIN(O17-O16,O6-O16))</f>
        <v>0</v>
      </c>
      <c r="P19" s="45">
        <f>MAX(0,MIN(P17-P16,P6-P16))</f>
        <v>0</v>
      </c>
      <c r="R19" s="303" t="s">
        <v>154</v>
      </c>
      <c r="S19" s="303"/>
      <c r="T19" s="312">
        <f>M!I24</f>
        <v>12570</v>
      </c>
      <c r="U19" s="310"/>
    </row>
    <row r="20" spans="2:21" x14ac:dyDescent="0.25">
      <c r="B20" s="304" t="s">
        <v>158</v>
      </c>
      <c r="C20" s="304"/>
      <c r="D20" s="13">
        <f>D19*D18</f>
        <v>0</v>
      </c>
      <c r="E20" s="13">
        <f>E19*D18</f>
        <v>0</v>
      </c>
      <c r="M20" s="304" t="s">
        <v>158</v>
      </c>
      <c r="N20" s="304"/>
      <c r="O20" s="13">
        <f>O18*O19</f>
        <v>0</v>
      </c>
      <c r="P20" s="13">
        <f>O18*P19</f>
        <v>0</v>
      </c>
      <c r="R20" s="303" t="s">
        <v>155</v>
      </c>
      <c r="S20" s="303"/>
      <c r="T20" s="309">
        <f>M!J24</f>
        <v>50270</v>
      </c>
      <c r="U20" s="310"/>
    </row>
    <row r="21" spans="2:21" x14ac:dyDescent="0.25">
      <c r="B21" s="303"/>
      <c r="C21" s="303"/>
      <c r="M21" s="303"/>
      <c r="N21" s="303"/>
      <c r="R21" s="303" t="s">
        <v>170</v>
      </c>
      <c r="S21" s="303"/>
      <c r="T21" s="311">
        <f>M!K24</f>
        <v>0.08</v>
      </c>
      <c r="U21" s="310"/>
    </row>
    <row r="22" spans="2:21" x14ac:dyDescent="0.25">
      <c r="B22" s="53" t="s">
        <v>207</v>
      </c>
      <c r="C22" s="53"/>
      <c r="M22" s="304" t="s">
        <v>160</v>
      </c>
      <c r="N22" s="304"/>
      <c r="R22" s="304" t="s">
        <v>157</v>
      </c>
      <c r="S22" s="304"/>
      <c r="T22" s="45">
        <f>MAX(0,MIN(T20-T19,T9-T19))</f>
        <v>0</v>
      </c>
      <c r="U22" s="45">
        <f>MAX(0,MIN(T20-T19,U9-T19))</f>
        <v>0</v>
      </c>
    </row>
    <row r="23" spans="2:21" x14ac:dyDescent="0.25">
      <c r="B23" s="303" t="s">
        <v>154</v>
      </c>
      <c r="C23" s="303"/>
      <c r="D23" s="54">
        <f>D17</f>
        <v>50270</v>
      </c>
      <c r="E23" s="54">
        <f>E17</f>
        <v>50270</v>
      </c>
      <c r="M23" s="303" t="s">
        <v>154</v>
      </c>
      <c r="N23" s="303"/>
      <c r="O23" s="54">
        <f>O17</f>
        <v>50270</v>
      </c>
      <c r="P23" s="54">
        <f>P17</f>
        <v>50270</v>
      </c>
      <c r="R23" s="304" t="s">
        <v>172</v>
      </c>
      <c r="S23" s="304"/>
      <c r="T23" s="45">
        <f>T22*$T$21</f>
        <v>0</v>
      </c>
      <c r="U23" s="45">
        <f>U22*$T$21</f>
        <v>0</v>
      </c>
    </row>
    <row r="24" spans="2:21" x14ac:dyDescent="0.25">
      <c r="B24" s="303" t="s">
        <v>155</v>
      </c>
      <c r="C24" s="303"/>
      <c r="D24" s="54">
        <f>D23+(M!$J$18-M!$I$18)</f>
        <v>125140</v>
      </c>
      <c r="E24" s="54">
        <f>E23+(M!$J$18-M!$I$18)</f>
        <v>125140</v>
      </c>
      <c r="M24" s="303" t="s">
        <v>155</v>
      </c>
      <c r="N24" s="303"/>
      <c r="O24" s="54">
        <f>M!$J$18</f>
        <v>125140</v>
      </c>
      <c r="P24" s="54">
        <f>M!$J$18</f>
        <v>125140</v>
      </c>
    </row>
    <row r="25" spans="2:21" x14ac:dyDescent="0.25">
      <c r="B25" s="303" t="s">
        <v>156</v>
      </c>
      <c r="C25" s="303"/>
      <c r="D25" s="311">
        <f>M!K10</f>
        <v>0.4</v>
      </c>
      <c r="E25" s="313"/>
      <c r="M25" s="303" t="s">
        <v>156</v>
      </c>
      <c r="N25" s="303"/>
      <c r="O25" s="307">
        <f>M!K18</f>
        <v>0.33750000000000002</v>
      </c>
      <c r="P25" s="308"/>
      <c r="R25" s="304" t="s">
        <v>173</v>
      </c>
      <c r="S25" s="304"/>
    </row>
    <row r="26" spans="2:21" x14ac:dyDescent="0.25">
      <c r="B26" s="304" t="s">
        <v>157</v>
      </c>
      <c r="C26" s="304"/>
      <c r="D26" s="45">
        <f>MAX(0,MIN(D24-D23,D6-D23))</f>
        <v>0</v>
      </c>
      <c r="E26" s="45">
        <f>MAX(0,MIN(E24-E23,E6-E23))</f>
        <v>0</v>
      </c>
      <c r="M26" s="304" t="s">
        <v>157</v>
      </c>
      <c r="N26" s="304"/>
      <c r="O26" s="45">
        <f>MAX(0,MIN(O24-O23,O13-O23))</f>
        <v>0</v>
      </c>
      <c r="P26" s="45">
        <f>MAX(0,MIN(P24-P23,P13-P23))</f>
        <v>0</v>
      </c>
      <c r="R26" s="303" t="s">
        <v>154</v>
      </c>
      <c r="S26" s="303"/>
      <c r="T26" s="309">
        <f>M!I25</f>
        <v>50270</v>
      </c>
      <c r="U26" s="310"/>
    </row>
    <row r="27" spans="2:21" x14ac:dyDescent="0.25">
      <c r="B27" s="304" t="s">
        <v>158</v>
      </c>
      <c r="C27" s="304"/>
      <c r="D27" s="13">
        <f>D26*D25</f>
        <v>0</v>
      </c>
      <c r="E27" s="13">
        <f>E26*D25</f>
        <v>0</v>
      </c>
      <c r="M27" s="304" t="s">
        <v>158</v>
      </c>
      <c r="N27" s="304"/>
      <c r="O27" s="13">
        <f>O25*O26</f>
        <v>0</v>
      </c>
      <c r="P27" s="13">
        <f>O25*P26</f>
        <v>0</v>
      </c>
      <c r="R27" s="303" t="s">
        <v>155</v>
      </c>
      <c r="S27" s="303"/>
      <c r="T27" s="309">
        <f>M!J25</f>
        <v>10000000</v>
      </c>
      <c r="U27" s="310"/>
    </row>
    <row r="28" spans="2:21" x14ac:dyDescent="0.25">
      <c r="D28" s="7"/>
      <c r="E28" s="7"/>
      <c r="R28" s="303" t="s">
        <v>170</v>
      </c>
      <c r="S28" s="303"/>
      <c r="T28" s="311">
        <f>M!K25</f>
        <v>0.02</v>
      </c>
      <c r="U28" s="310"/>
    </row>
    <row r="29" spans="2:21" x14ac:dyDescent="0.25">
      <c r="B29" s="53" t="s">
        <v>208</v>
      </c>
      <c r="C29" s="53"/>
      <c r="M29" s="304" t="s">
        <v>161</v>
      </c>
      <c r="N29" s="304"/>
      <c r="R29" s="304" t="s">
        <v>157</v>
      </c>
      <c r="S29" s="304"/>
      <c r="T29" s="45">
        <f>MAX(0,MIN(T27-T26,T9-T26))</f>
        <v>0</v>
      </c>
      <c r="U29" s="45">
        <f>MAX(0,MIN(T27-T26,U9-T26))</f>
        <v>0</v>
      </c>
    </row>
    <row r="30" spans="2:21" x14ac:dyDescent="0.25">
      <c r="B30" s="303" t="s">
        <v>154</v>
      </c>
      <c r="C30" s="303"/>
      <c r="D30" s="54">
        <f>D24</f>
        <v>125140</v>
      </c>
      <c r="E30" s="54">
        <f>E24</f>
        <v>125140</v>
      </c>
      <c r="M30" s="303" t="s">
        <v>154</v>
      </c>
      <c r="N30" s="303"/>
      <c r="O30" s="54">
        <f>J12</f>
        <v>74870</v>
      </c>
      <c r="P30" s="54">
        <f>K12</f>
        <v>74870</v>
      </c>
      <c r="R30" s="304" t="s">
        <v>172</v>
      </c>
      <c r="S30" s="304"/>
      <c r="T30" s="45">
        <f>T29*$T$28</f>
        <v>0</v>
      </c>
      <c r="U30" s="45">
        <f>U29*$T$28</f>
        <v>0</v>
      </c>
    </row>
    <row r="31" spans="2:21" x14ac:dyDescent="0.25">
      <c r="B31" s="303" t="s">
        <v>155</v>
      </c>
      <c r="C31" s="303"/>
      <c r="D31" s="54">
        <f>M!$J$11</f>
        <v>10000000</v>
      </c>
      <c r="E31" s="54">
        <f>M!$J$11</f>
        <v>10000000</v>
      </c>
      <c r="M31" s="303" t="s">
        <v>155</v>
      </c>
      <c r="N31" s="303"/>
      <c r="O31" s="54">
        <f>M!$J$19</f>
        <v>10000000</v>
      </c>
      <c r="P31" s="54">
        <f>M!$J$19</f>
        <v>10000000</v>
      </c>
    </row>
    <row r="32" spans="2:21" x14ac:dyDescent="0.25">
      <c r="B32" s="303" t="s">
        <v>156</v>
      </c>
      <c r="C32" s="303"/>
      <c r="D32" s="307">
        <f>M!K11</f>
        <v>0.45</v>
      </c>
      <c r="E32" s="307"/>
      <c r="M32" s="303" t="s">
        <v>156</v>
      </c>
      <c r="N32" s="303"/>
      <c r="O32" s="307">
        <f>M!K19</f>
        <v>0.39350000000000002</v>
      </c>
      <c r="P32" s="308"/>
    </row>
    <row r="33" spans="2:24" x14ac:dyDescent="0.25">
      <c r="B33" s="304" t="s">
        <v>157</v>
      </c>
      <c r="C33" s="304"/>
      <c r="D33" s="45">
        <f>MAX(0,MIN(D31-D30,D6-D30))</f>
        <v>0</v>
      </c>
      <c r="E33" s="45">
        <f>MAX(0,MIN(D31-D30,E6-D30))</f>
        <v>0</v>
      </c>
      <c r="M33" s="304" t="s">
        <v>157</v>
      </c>
      <c r="N33" s="304"/>
      <c r="O33" s="45">
        <f>MAX(0,MIN(O31-O30,O20-O30))</f>
        <v>0</v>
      </c>
      <c r="P33" s="45">
        <f>MAX(0,MIN(P31-P30,P20-P30))</f>
        <v>0</v>
      </c>
    </row>
    <row r="34" spans="2:24" x14ac:dyDescent="0.25">
      <c r="B34" s="304" t="s">
        <v>158</v>
      </c>
      <c r="C34" s="304"/>
      <c r="D34" s="13">
        <f>D33*D32</f>
        <v>0</v>
      </c>
      <c r="E34" s="13">
        <f>E33*D32</f>
        <v>0</v>
      </c>
      <c r="M34" s="304" t="s">
        <v>158</v>
      </c>
      <c r="N34" s="304"/>
      <c r="O34" s="13">
        <f>O32*O33</f>
        <v>0</v>
      </c>
      <c r="P34" s="13">
        <f>O32*P33</f>
        <v>0</v>
      </c>
    </row>
    <row r="36" spans="2:24" x14ac:dyDescent="0.25">
      <c r="B36" s="303" t="s">
        <v>162</v>
      </c>
      <c r="C36" s="303"/>
      <c r="D36" s="13">
        <f>D6</f>
        <v>0</v>
      </c>
      <c r="E36" s="13">
        <f>E6</f>
        <v>0</v>
      </c>
      <c r="M36" s="303" t="s">
        <v>162</v>
      </c>
      <c r="N36" s="303"/>
      <c r="O36" s="13">
        <f>O6</f>
        <v>0</v>
      </c>
      <c r="P36" s="13">
        <f>P6</f>
        <v>0</v>
      </c>
    </row>
    <row r="37" spans="2:24" x14ac:dyDescent="0.25">
      <c r="B37" s="303" t="s">
        <v>163</v>
      </c>
      <c r="C37" s="303"/>
      <c r="D37" s="45">
        <f>D12+D19+D26+D33</f>
        <v>0</v>
      </c>
      <c r="E37" s="45">
        <f>E12+E19+E26+E33</f>
        <v>0</v>
      </c>
      <c r="M37" s="303" t="s">
        <v>163</v>
      </c>
      <c r="N37" s="303"/>
      <c r="O37" s="45">
        <f>O12+O19+O26+O33</f>
        <v>0</v>
      </c>
      <c r="P37" s="45">
        <f>P12+P19+P26+P33</f>
        <v>0</v>
      </c>
    </row>
    <row r="38" spans="2:24" x14ac:dyDescent="0.25">
      <c r="B38" s="30"/>
      <c r="C38" s="30"/>
      <c r="D38" s="57"/>
      <c r="E38" s="57"/>
    </row>
    <row r="39" spans="2:24" x14ac:dyDescent="0.25">
      <c r="B39" s="30"/>
      <c r="C39" s="30"/>
      <c r="D39" s="57"/>
      <c r="E39" s="57"/>
      <c r="R39" s="303" t="s">
        <v>162</v>
      </c>
      <c r="S39" s="303"/>
      <c r="T39" s="13">
        <f>T9</f>
        <v>0</v>
      </c>
      <c r="U39" s="13">
        <f>U9</f>
        <v>0</v>
      </c>
    </row>
    <row r="40" spans="2:24" x14ac:dyDescent="0.25">
      <c r="B40" s="30"/>
      <c r="C40" s="30"/>
      <c r="D40" s="57"/>
      <c r="E40" s="57"/>
      <c r="R40" s="303" t="s">
        <v>163</v>
      </c>
      <c r="S40" s="303"/>
      <c r="T40" s="45">
        <f>T15+T22+T29+T36</f>
        <v>0</v>
      </c>
      <c r="U40" s="45">
        <f>U15+U22+U29+U36</f>
        <v>0</v>
      </c>
    </row>
    <row r="44" spans="2:24" s="60" customFormat="1" ht="15.75" x14ac:dyDescent="0.25">
      <c r="B44" s="305" t="s">
        <v>164</v>
      </c>
      <c r="C44" s="305"/>
      <c r="D44" s="58">
        <f>D13+D20+D27+D34</f>
        <v>0</v>
      </c>
      <c r="E44" s="58">
        <f>E13+E20+E27+E34</f>
        <v>0</v>
      </c>
      <c r="F44" s="59"/>
      <c r="M44" s="305" t="s">
        <v>164</v>
      </c>
      <c r="N44" s="305"/>
      <c r="O44" s="58">
        <f>O13+O20+O27+O34</f>
        <v>0</v>
      </c>
      <c r="P44" s="58">
        <f>P13+P20+P27+P34</f>
        <v>0</v>
      </c>
      <c r="R44" s="305" t="s">
        <v>174</v>
      </c>
      <c r="S44" s="306"/>
      <c r="T44" s="61">
        <f>IF(T6=0,T16+T23+T30+T37,0)</f>
        <v>0</v>
      </c>
      <c r="U44" s="61">
        <f>IF(U6=0,U16+U23+U30+U37,0)</f>
        <v>0</v>
      </c>
      <c r="V44" s="59"/>
    </row>
    <row r="45" spans="2:24" s="59" customFormat="1" ht="15.75" x14ac:dyDescent="0.25">
      <c r="B45" s="305" t="s">
        <v>166</v>
      </c>
      <c r="C45" s="305"/>
      <c r="D45" s="61">
        <f>D44/12</f>
        <v>0</v>
      </c>
      <c r="E45" s="61">
        <f>E44/12</f>
        <v>0</v>
      </c>
      <c r="H45" s="60"/>
      <c r="I45" s="60"/>
      <c r="J45" s="60"/>
      <c r="K45" s="60"/>
      <c r="M45" s="305" t="s">
        <v>166</v>
      </c>
      <c r="N45" s="305"/>
      <c r="O45" s="61">
        <f>O44/12</f>
        <v>0</v>
      </c>
      <c r="P45" s="61">
        <f>P44/12</f>
        <v>0</v>
      </c>
      <c r="R45" s="305" t="s">
        <v>175</v>
      </c>
      <c r="S45" s="306"/>
      <c r="T45" s="61">
        <f>T44/12</f>
        <v>0</v>
      </c>
      <c r="U45" s="61">
        <f>U44/12</f>
        <v>0</v>
      </c>
      <c r="W45" s="62"/>
    </row>
    <row r="46" spans="2:24" s="59" customFormat="1" ht="15.75" x14ac:dyDescent="0.25">
      <c r="B46" s="305" t="s">
        <v>165</v>
      </c>
      <c r="C46" s="305"/>
      <c r="D46" s="61">
        <f>D44/52</f>
        <v>0</v>
      </c>
      <c r="E46" s="61">
        <f>E44/52</f>
        <v>0</v>
      </c>
      <c r="M46" s="305" t="s">
        <v>165</v>
      </c>
      <c r="N46" s="305"/>
      <c r="O46" s="61">
        <f>O44/52</f>
        <v>0</v>
      </c>
      <c r="P46" s="61">
        <f>P44/52</f>
        <v>0</v>
      </c>
      <c r="R46" s="305" t="s">
        <v>176</v>
      </c>
      <c r="S46" s="306"/>
      <c r="T46" s="61">
        <f>T44/52</f>
        <v>0</v>
      </c>
      <c r="U46" s="61">
        <f>U44/52</f>
        <v>0</v>
      </c>
      <c r="V46" s="60"/>
      <c r="X46" s="62"/>
    </row>
    <row r="47" spans="2:24" s="32" customFormat="1" ht="15.75" x14ac:dyDescent="0.25">
      <c r="B47" s="14"/>
      <c r="C47" s="14"/>
      <c r="D47" s="14"/>
      <c r="E47" s="14"/>
      <c r="F47" s="14"/>
      <c r="R47" s="14"/>
      <c r="S47" s="14"/>
      <c r="T47" s="14"/>
      <c r="U47" s="14"/>
      <c r="V47" s="14"/>
    </row>
    <row r="48" spans="2:24" ht="15.75" x14ac:dyDescent="0.25">
      <c r="H48" s="32"/>
      <c r="I48" s="32"/>
      <c r="J48" s="32"/>
      <c r="K48" s="32"/>
    </row>
    <row r="51" spans="6:17" x14ac:dyDescent="0.25">
      <c r="F51" s="46"/>
    </row>
    <row r="52" spans="6:17" x14ac:dyDescent="0.25">
      <c r="G52" s="46"/>
      <c r="L52" s="46"/>
      <c r="M52" s="46"/>
      <c r="N52" s="46"/>
      <c r="O52" s="46"/>
      <c r="P52" s="46"/>
      <c r="Q52" s="46"/>
    </row>
    <row r="53" spans="6:17" x14ac:dyDescent="0.25">
      <c r="H53" s="46"/>
      <c r="I53" s="46"/>
      <c r="J53" s="46"/>
      <c r="K53" s="46"/>
    </row>
  </sheetData>
  <mergeCells count="105">
    <mergeCell ref="B6:C6"/>
    <mergeCell ref="B9:C9"/>
    <mergeCell ref="B7:C7"/>
    <mergeCell ref="B10:C10"/>
    <mergeCell ref="B11:C11"/>
    <mergeCell ref="B25:C25"/>
    <mergeCell ref="B26:C26"/>
    <mergeCell ref="D11:E11"/>
    <mergeCell ref="D18:E18"/>
    <mergeCell ref="B17:C17"/>
    <mergeCell ref="B18:C18"/>
    <mergeCell ref="B19:C19"/>
    <mergeCell ref="B20:C20"/>
    <mergeCell ref="B21:C21"/>
    <mergeCell ref="B12:C12"/>
    <mergeCell ref="B13:C13"/>
    <mergeCell ref="B14:C14"/>
    <mergeCell ref="B16:C16"/>
    <mergeCell ref="B36:C36"/>
    <mergeCell ref="B37:C37"/>
    <mergeCell ref="B44:C44"/>
    <mergeCell ref="B45:C45"/>
    <mergeCell ref="B46:C46"/>
    <mergeCell ref="R9:S9"/>
    <mergeCell ref="R11:S11"/>
    <mergeCell ref="R12:S12"/>
    <mergeCell ref="R13:S13"/>
    <mergeCell ref="R14:S14"/>
    <mergeCell ref="B31:C31"/>
    <mergeCell ref="B32:C32"/>
    <mergeCell ref="B33:C33"/>
    <mergeCell ref="B34:C34"/>
    <mergeCell ref="D32:E32"/>
    <mergeCell ref="B27:C27"/>
    <mergeCell ref="D25:E25"/>
    <mergeCell ref="B30:C30"/>
    <mergeCell ref="B23:C23"/>
    <mergeCell ref="B24:C24"/>
    <mergeCell ref="R45:S45"/>
    <mergeCell ref="O32:P32"/>
    <mergeCell ref="R44:S44"/>
    <mergeCell ref="R23:S23"/>
    <mergeCell ref="T19:U19"/>
    <mergeCell ref="T20:U20"/>
    <mergeCell ref="T21:U21"/>
    <mergeCell ref="R15:S15"/>
    <mergeCell ref="R16:S16"/>
    <mergeCell ref="T12:U12"/>
    <mergeCell ref="T13:U13"/>
    <mergeCell ref="T14:U14"/>
    <mergeCell ref="R18:S18"/>
    <mergeCell ref="R20:S20"/>
    <mergeCell ref="R21:S21"/>
    <mergeCell ref="T26:U26"/>
    <mergeCell ref="T27:U27"/>
    <mergeCell ref="T28:U28"/>
    <mergeCell ref="R39:S39"/>
    <mergeCell ref="R40:S40"/>
    <mergeCell ref="R25:S25"/>
    <mergeCell ref="R26:S26"/>
    <mergeCell ref="R27:S27"/>
    <mergeCell ref="R28:S28"/>
    <mergeCell ref="R29:S29"/>
    <mergeCell ref="R30:S30"/>
    <mergeCell ref="M22:N22"/>
    <mergeCell ref="M23:N23"/>
    <mergeCell ref="M12:N12"/>
    <mergeCell ref="M13:N13"/>
    <mergeCell ref="M14:N14"/>
    <mergeCell ref="M15:N15"/>
    <mergeCell ref="M16:N16"/>
    <mergeCell ref="M17:N17"/>
    <mergeCell ref="R4:S4"/>
    <mergeCell ref="R5:S5"/>
    <mergeCell ref="R6:S6"/>
    <mergeCell ref="M6:N6"/>
    <mergeCell ref="M8:N8"/>
    <mergeCell ref="M9:N9"/>
    <mergeCell ref="M10:N10"/>
    <mergeCell ref="M11:N11"/>
    <mergeCell ref="R19:S19"/>
    <mergeCell ref="R46:S46"/>
    <mergeCell ref="M44:N44"/>
    <mergeCell ref="M45:N45"/>
    <mergeCell ref="M46:N46"/>
    <mergeCell ref="O18:P18"/>
    <mergeCell ref="O25:P25"/>
    <mergeCell ref="O11:P11"/>
    <mergeCell ref="M31:N31"/>
    <mergeCell ref="M32:N32"/>
    <mergeCell ref="M33:N33"/>
    <mergeCell ref="M34:N34"/>
    <mergeCell ref="M36:N36"/>
    <mergeCell ref="M37:N37"/>
    <mergeCell ref="M24:N24"/>
    <mergeCell ref="M25:N25"/>
    <mergeCell ref="M26:N26"/>
    <mergeCell ref="M27:N27"/>
    <mergeCell ref="M29:N29"/>
    <mergeCell ref="M30:N30"/>
    <mergeCell ref="M18:N18"/>
    <mergeCell ref="M19:N19"/>
    <mergeCell ref="M20:N20"/>
    <mergeCell ref="M21:N21"/>
    <mergeCell ref="R22:S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B3B6-A5CE-4617-B5ED-D3D0A22B5E81}">
  <sheetPr codeName="Sheet6"/>
  <dimension ref="B3:W25"/>
  <sheetViews>
    <sheetView zoomScale="70" zoomScaleNormal="70" workbookViewId="0">
      <selection activeCell="D10" sqref="D10"/>
    </sheetView>
  </sheetViews>
  <sheetFormatPr defaultColWidth="11.140625" defaultRowHeight="15" x14ac:dyDescent="0.25"/>
  <cols>
    <col min="1" max="2" width="11.140625" style="14"/>
    <col min="3" max="3" width="32.28515625" style="14" bestFit="1" customWidth="1"/>
    <col min="4" max="7" width="11.140625" style="14"/>
    <col min="8" max="8" width="13" style="14" bestFit="1" customWidth="1"/>
    <col min="9" max="16384" width="11.140625" style="14"/>
  </cols>
  <sheetData>
    <row r="3" spans="2:23" x14ac:dyDescent="0.25">
      <c r="B3" s="14">
        <v>1</v>
      </c>
      <c r="C3" s="14" t="s">
        <v>188</v>
      </c>
      <c r="D3" s="14">
        <v>1.17333334352519E-23</v>
      </c>
      <c r="E3" s="14">
        <v>1.3846153999534599E-18</v>
      </c>
      <c r="F3" s="14">
        <v>5.3569231522517601E-14</v>
      </c>
      <c r="G3" s="14">
        <v>4.0935667762909302E-10</v>
      </c>
      <c r="H3" s="14">
        <v>2.1698451167891198E-5</v>
      </c>
      <c r="I3" s="14">
        <v>1.2556065095863</v>
      </c>
      <c r="J3" s="14">
        <v>1043.9998288597101</v>
      </c>
      <c r="K3" s="14" t="s">
        <v>189</v>
      </c>
      <c r="L3" s="14" t="s">
        <v>190</v>
      </c>
      <c r="M3" s="14" t="s">
        <v>189</v>
      </c>
      <c r="N3" s="14" t="s">
        <v>189</v>
      </c>
      <c r="O3" s="14" t="s">
        <v>190</v>
      </c>
      <c r="P3" s="14" t="s">
        <v>190</v>
      </c>
      <c r="Q3" s="14">
        <v>213858.05033443746</v>
      </c>
      <c r="R3" s="14">
        <v>491944.35693280073</v>
      </c>
      <c r="S3" s="14">
        <v>371009.36884388042</v>
      </c>
      <c r="T3" s="14">
        <v>55265.48358492001</v>
      </c>
      <c r="U3" s="14">
        <v>57103.596954027591</v>
      </c>
      <c r="V3" s="14">
        <v>64412.613941777192</v>
      </c>
      <c r="W3" s="14">
        <v>1043.9998288597101</v>
      </c>
    </row>
    <row r="4" spans="2:23" x14ac:dyDescent="0.25">
      <c r="B4" s="14">
        <v>2</v>
      </c>
      <c r="C4" s="14" t="s">
        <v>191</v>
      </c>
      <c r="D4" s="14">
        <v>-4.2505626654843899E-26</v>
      </c>
      <c r="E4" s="14">
        <v>2.5174997621865101E-20</v>
      </c>
      <c r="F4" s="14">
        <v>5.9309854090476601E-15</v>
      </c>
      <c r="G4" s="14">
        <v>7.06054063145597E-10</v>
      </c>
      <c r="H4" s="14">
        <v>4.47381442661779E-5</v>
      </c>
      <c r="I4" s="14">
        <v>2.1661826223252501</v>
      </c>
      <c r="J4" s="14">
        <v>15818.5671426791</v>
      </c>
      <c r="K4" s="14" t="s">
        <v>190</v>
      </c>
      <c r="L4" s="14" t="s">
        <v>189</v>
      </c>
      <c r="M4" s="14" t="s">
        <v>190</v>
      </c>
      <c r="N4" s="14" t="s">
        <v>189</v>
      </c>
      <c r="O4" s="14" t="s">
        <v>190</v>
      </c>
      <c r="P4" s="14" t="s">
        <v>189</v>
      </c>
      <c r="Q4" s="14">
        <v>-774.73042889394867</v>
      </c>
      <c r="R4" s="14">
        <v>8944.5040234923654</v>
      </c>
      <c r="S4" s="14">
        <v>41076.772817024372</v>
      </c>
      <c r="T4" s="14">
        <v>95321.320914653334</v>
      </c>
      <c r="U4" s="14">
        <v>117736.92688385771</v>
      </c>
      <c r="V4" s="14">
        <v>111125.16852528532</v>
      </c>
      <c r="W4" s="14">
        <v>15818.5671426791</v>
      </c>
    </row>
    <row r="5" spans="2:23" x14ac:dyDescent="0.25">
      <c r="B5" s="14">
        <v>3</v>
      </c>
      <c r="C5" s="14" t="s">
        <v>192</v>
      </c>
      <c r="D5" s="14">
        <v>2.2986480195188401E-29</v>
      </c>
      <c r="E5" s="14">
        <v>4.6977960539115998E-23</v>
      </c>
      <c r="F5" s="14">
        <v>3.9128556074786198E-17</v>
      </c>
      <c r="G5" s="14">
        <v>1.6969710193083401E-11</v>
      </c>
      <c r="H5" s="14">
        <v>4.0340652760807103E-6</v>
      </c>
      <c r="I5" s="14">
        <v>0.30250211887195799</v>
      </c>
      <c r="J5" s="14">
        <v>14942.5068324329</v>
      </c>
      <c r="K5" s="14" t="s">
        <v>189</v>
      </c>
      <c r="L5" s="14" t="s">
        <v>190</v>
      </c>
      <c r="M5" s="14" t="s">
        <v>189</v>
      </c>
      <c r="N5" s="14" t="s">
        <v>190</v>
      </c>
      <c r="O5" s="14" t="s">
        <v>190</v>
      </c>
      <c r="P5" s="14" t="s">
        <v>190</v>
      </c>
      <c r="Q5" s="14">
        <v>0.41896395987732482</v>
      </c>
      <c r="R5" s="14">
        <v>16.690947239360984</v>
      </c>
      <c r="S5" s="14">
        <v>270.99625065512885</v>
      </c>
      <c r="T5" s="14">
        <v>2291.0075525052293</v>
      </c>
      <c r="U5" s="14">
        <v>10616.409246408844</v>
      </c>
      <c r="V5" s="14">
        <v>15518.358698131446</v>
      </c>
      <c r="W5" s="14">
        <v>14942.5068324329</v>
      </c>
    </row>
    <row r="6" spans="2:23" x14ac:dyDescent="0.25">
      <c r="B6" s="14">
        <v>4</v>
      </c>
      <c r="C6" s="14" t="s">
        <v>193</v>
      </c>
      <c r="D6" s="14">
        <v>1.1733333416762999E-23</v>
      </c>
      <c r="E6" s="14">
        <v>1.3846154002065799E-18</v>
      </c>
      <c r="F6" s="14">
        <v>5.3569231721067498E-14</v>
      </c>
      <c r="G6" s="14">
        <v>4.0935667845482198E-10</v>
      </c>
      <c r="H6" s="14">
        <v>2.1698451227430601E-5</v>
      </c>
      <c r="I6" s="14">
        <v>1.21160651064584</v>
      </c>
      <c r="J6" s="14">
        <v>1043.9998386082</v>
      </c>
      <c r="K6" s="14" t="s">
        <v>189</v>
      </c>
      <c r="L6" s="14" t="s">
        <v>190</v>
      </c>
      <c r="M6" s="14" t="s">
        <v>189</v>
      </c>
      <c r="N6" s="14" t="s">
        <v>189</v>
      </c>
      <c r="O6" s="14" t="s">
        <v>190</v>
      </c>
      <c r="P6" s="14" t="s">
        <v>190</v>
      </c>
      <c r="Q6" s="14">
        <v>213858.0499974488</v>
      </c>
      <c r="R6" s="14">
        <v>491944.3570227325</v>
      </c>
      <c r="S6" s="14">
        <v>371009.37021899573</v>
      </c>
      <c r="T6" s="14">
        <v>55265.483696398122</v>
      </c>
      <c r="U6" s="14">
        <v>57103.597110716837</v>
      </c>
      <c r="V6" s="14">
        <v>62155.413996131596</v>
      </c>
      <c r="W6" s="14">
        <v>1043.9998386082</v>
      </c>
    </row>
    <row r="7" spans="2:23" x14ac:dyDescent="0.25">
      <c r="B7" s="14">
        <v>5</v>
      </c>
      <c r="C7" s="14" t="s">
        <v>194</v>
      </c>
      <c r="D7" s="14">
        <v>-4.1473609378387101E-26</v>
      </c>
      <c r="E7" s="14">
        <v>2.46212806775741E-20</v>
      </c>
      <c r="F7" s="14">
        <v>5.8111424097266798E-15</v>
      </c>
      <c r="G7" s="14">
        <v>6.9269794271989602E-10</v>
      </c>
      <c r="H7" s="14">
        <v>4.3931848791494599E-5</v>
      </c>
      <c r="I7" s="14">
        <v>2.0972366492369101</v>
      </c>
      <c r="J7" s="14">
        <v>15509.966727785401</v>
      </c>
      <c r="K7" s="14" t="s">
        <v>190</v>
      </c>
      <c r="L7" s="14" t="s">
        <v>189</v>
      </c>
      <c r="M7" s="14" t="s">
        <v>190</v>
      </c>
      <c r="N7" s="14" t="s">
        <v>189</v>
      </c>
      <c r="O7" s="14" t="s">
        <v>190</v>
      </c>
      <c r="P7" s="14" t="s">
        <v>189</v>
      </c>
      <c r="Q7" s="14">
        <v>-755.92032655837409</v>
      </c>
      <c r="R7" s="14">
        <v>8747.7721901679724</v>
      </c>
      <c r="S7" s="14">
        <v>40246.765100379329</v>
      </c>
      <c r="T7" s="14">
        <v>93518.168567365632</v>
      </c>
      <c r="U7" s="14">
        <v>115615.00714608842</v>
      </c>
      <c r="V7" s="14">
        <v>107588.24010585349</v>
      </c>
      <c r="W7" s="14">
        <v>15509.966727785401</v>
      </c>
    </row>
    <row r="8" spans="2:23" x14ac:dyDescent="0.25">
      <c r="B8" s="14">
        <v>6</v>
      </c>
      <c r="C8" s="14" t="s">
        <v>195</v>
      </c>
      <c r="D8" s="14">
        <v>2.2986480101148901E-29</v>
      </c>
      <c r="E8" s="14">
        <v>4.69779601093537E-23</v>
      </c>
      <c r="F8" s="14">
        <v>3.9128555667880601E-17</v>
      </c>
      <c r="G8" s="14">
        <v>1.6969710022348202E-11</v>
      </c>
      <c r="H8" s="14">
        <v>4.03406523928154E-6</v>
      </c>
      <c r="I8" s="14">
        <v>0.302502122915355</v>
      </c>
      <c r="J8" s="14">
        <v>8353.0666496640606</v>
      </c>
      <c r="K8" s="14" t="s">
        <v>189</v>
      </c>
      <c r="L8" s="14" t="s">
        <v>190</v>
      </c>
      <c r="M8" s="14" t="s">
        <v>189</v>
      </c>
      <c r="N8" s="14" t="s">
        <v>190</v>
      </c>
      <c r="O8" s="14" t="s">
        <v>190</v>
      </c>
      <c r="P8" s="14" t="s">
        <v>190</v>
      </c>
      <c r="Q8" s="14">
        <v>0.41896395816331028</v>
      </c>
      <c r="R8" s="14">
        <v>16.690947086669386</v>
      </c>
      <c r="S8" s="14">
        <v>270.99624783698522</v>
      </c>
      <c r="T8" s="14">
        <v>2291.0075294550047</v>
      </c>
      <c r="U8" s="14">
        <v>10616.409149564835</v>
      </c>
      <c r="V8" s="14">
        <v>15518.358905557712</v>
      </c>
      <c r="W8" s="14">
        <v>8353.0666496640606</v>
      </c>
    </row>
    <row r="11" spans="2:23" x14ac:dyDescent="0.25">
      <c r="C11" s="15" t="s">
        <v>196</v>
      </c>
      <c r="D11" s="15" t="s">
        <v>17</v>
      </c>
      <c r="E11" s="15" t="s">
        <v>18</v>
      </c>
      <c r="G11" s="52" t="s">
        <v>200</v>
      </c>
      <c r="H11" s="52"/>
      <c r="I11" s="52"/>
      <c r="J11" s="52"/>
      <c r="K11" s="52"/>
      <c r="L11" s="52" t="s">
        <v>200</v>
      </c>
      <c r="M11" s="52"/>
      <c r="O11" s="15" t="s">
        <v>278</v>
      </c>
    </row>
    <row r="12" spans="2:23" x14ac:dyDescent="0.25">
      <c r="C12" s="14" t="s">
        <v>16</v>
      </c>
      <c r="D12" s="13">
        <f>GrsIncSum!D29</f>
        <v>0</v>
      </c>
      <c r="E12" s="13">
        <f>GrsIncSum!E29</f>
        <v>0</v>
      </c>
      <c r="G12" s="52" t="s">
        <v>201</v>
      </c>
      <c r="H12" s="52"/>
      <c r="I12" s="52"/>
      <c r="J12" s="52"/>
      <c r="K12" s="52"/>
      <c r="L12" s="52" t="s">
        <v>202</v>
      </c>
      <c r="M12" s="52"/>
    </row>
    <row r="13" spans="2:23" x14ac:dyDescent="0.25">
      <c r="C13" s="14" t="s">
        <v>197</v>
      </c>
      <c r="D13" s="13">
        <f>GrsIncSum!N29+GrsIncSum!S29</f>
        <v>0</v>
      </c>
      <c r="E13" s="13">
        <f>GrsIncSum!O29+GrsIncSum!T29</f>
        <v>0</v>
      </c>
      <c r="G13" s="52"/>
      <c r="H13" s="52"/>
      <c r="I13" s="52"/>
      <c r="J13" s="52"/>
      <c r="K13" s="52"/>
      <c r="L13" s="52"/>
      <c r="M13" s="52"/>
    </row>
    <row r="14" spans="2:23" x14ac:dyDescent="0.25">
      <c r="C14" s="14" t="s">
        <v>19</v>
      </c>
      <c r="D14" s="13">
        <f>GrsIncSum!I29</f>
        <v>0</v>
      </c>
      <c r="E14" s="13">
        <f>GrsIncSum!J29</f>
        <v>0</v>
      </c>
      <c r="H14" s="29" t="s">
        <v>17</v>
      </c>
      <c r="I14" s="29" t="s">
        <v>18</v>
      </c>
      <c r="J14" s="15"/>
      <c r="K14" s="15"/>
      <c r="L14" s="29" t="s">
        <v>17</v>
      </c>
      <c r="M14" s="29" t="s">
        <v>18</v>
      </c>
      <c r="O14" s="29" t="s">
        <v>17</v>
      </c>
      <c r="P14" s="29" t="s">
        <v>18</v>
      </c>
    </row>
    <row r="15" spans="2:23" x14ac:dyDescent="0.25">
      <c r="C15" s="14" t="s">
        <v>198</v>
      </c>
      <c r="D15" s="13">
        <f>GrsIncSum!X29</f>
        <v>0</v>
      </c>
      <c r="E15" s="13">
        <f>GrsIncSum!Y29</f>
        <v>0</v>
      </c>
      <c r="G15" s="29" t="s">
        <v>287</v>
      </c>
      <c r="H15" s="29">
        <f>SUM(D12:D14)</f>
        <v>0</v>
      </c>
      <c r="I15" s="29">
        <f>SUM(E12:E14)</f>
        <v>0</v>
      </c>
      <c r="J15" s="15"/>
      <c r="K15" s="29" t="s">
        <v>287</v>
      </c>
      <c r="L15" s="29">
        <f>SUM(D12:D14)</f>
        <v>0</v>
      </c>
      <c r="M15" s="29">
        <f>SUM(E12:E14)</f>
        <v>0</v>
      </c>
      <c r="O15" s="45">
        <f xml:space="preserve">
IF(H15&gt;500000,0,
IF(AND(D25=1,D16&lt;=40000),H16,
IF(AND(D25=1,D16&lt;=150000),H17,
IF(AND(D25=1,D16&gt;150000),H18,
IF(AND(D25=0,D16&lt;=40000),L16,
IF(AND(D25=0,D16&lt;=150000),L17,
IF(AND(D25=0,D16&gt;150000),L18,
"")))))))</f>
        <v>0</v>
      </c>
      <c r="P15" s="45">
        <f xml:space="preserve">
IF(I15&gt;500000,0,
IF(AND(E25=1,E16&lt;=40000),I16,
IF(AND(E25=1,E16&lt;=150000),I17,
IF(AND(E25=1,E16&gt;150000),I18,
IF(AND(E25=0,E16&lt;=40000),M16,
IF(AND(E25=0,E16&lt;=150000),M17,
IF(AND(E25=0,E16&gt;150000),M18,
"")))))))</f>
        <v>0</v>
      </c>
    </row>
    <row r="16" spans="2:23" x14ac:dyDescent="0.25">
      <c r="C16" s="15" t="s">
        <v>148</v>
      </c>
      <c r="D16" s="29">
        <f>SUM(D12:D15)</f>
        <v>0</v>
      </c>
      <c r="E16" s="29">
        <f>SUM(E12:E15)</f>
        <v>0</v>
      </c>
      <c r="G16" s="13">
        <v>1</v>
      </c>
      <c r="H16" s="45">
        <f t="shared" ref="H16:I16" si="0">MAX(IF((
($D6*H$15^6)-($E6*H$15^5)+($F6*H$15^4)-($G6*H$15^3)-($H6*H$15^2)+($I6*H$15^1)+($J6))&gt;H$15,H$15,
($D6*H$15^6)-($E6*H$15^5)+($F6*H$15^4)-($G6*H$15^3)-($H6*H$15^2)+($I6*H$15^1)+($J6)),0)</f>
        <v>0</v>
      </c>
      <c r="I16" s="45">
        <f t="shared" si="0"/>
        <v>0</v>
      </c>
      <c r="K16" s="13">
        <v>1</v>
      </c>
      <c r="L16" s="45">
        <f>MAX(IF((
($D3*L$15^6)-($E3*L$15^5)+($F3*L$15^4)-($G3*L$15^3)-($H3*L$15^2)+($I3*L$15^1)+($J3))&gt;L$15,L$15,
($D3*L$15^6)-($E3*L$15^5)+($F3*L$15^4)-($G3*L$15^3)-($H3*L$15^2)+($I3*L$15^1)+($J3)),0)</f>
        <v>0</v>
      </c>
      <c r="M16" s="45">
        <f>MAX(IF((
($D3*M$15^6)-($E3*M$15^5)+($F3*M$15^4)-($G3*M$15^3)-($H3*M$15^2)+($I3*M$15^1)+($J3))&gt;M$15,M$15,
($D3*M$15^6)-($E3*M$15^5)+($F3*M$15^4)-($G3*M$15^3)-($H3*M$15^2)+($I3*M$15^1)+($J3)),0)</f>
        <v>0</v>
      </c>
    </row>
    <row r="17" spans="3:16" x14ac:dyDescent="0.25">
      <c r="G17" s="13">
        <v>2</v>
      </c>
      <c r="H17" s="45">
        <f>MAX(IF((
($D7*H$15^6)+($E7*H$15^5)-($F7*H$15^4)+($G7*H$15^3)-($H7*H$15^2)+($I7*H$15^1)-($J7))&gt;H$15,H$15,
($D7*H$15^6)+($E7*H$15^5)-($F7*H$15^4)+($G7*H$15^3)-($H7*H$15^2)+($I7*H$15^1)-($J7)),0)</f>
        <v>0</v>
      </c>
      <c r="I17" s="45">
        <f>MAX(IF((
($D7*I$15^6)+($E7*I$15^5)-($F7*I$15^4)+($G7*I$15^3)-($H7*I$15^2)+($I7*I$15^1)-($J7))&gt;I$15,I$15,
($D7*I$15^6)+($E7*I$15^5)-($F7*I$15^4)+($G7*I$15^3)-($H7*I$15^2)+($I7*I$15^1)-($J7)),0)</f>
        <v>0</v>
      </c>
      <c r="K17" s="13">
        <v>2</v>
      </c>
      <c r="L17" s="45">
        <f>MAX(IF((
($D4*L$15^6)+($E4*L$15^5)-($F4*L$15^4)+($G4*L$15^3)-($H4*L$15^2)+($I4*L$15^1)-($J4))&gt;L$15,L$15,
($D4*L$15^6)+($E4*L$15^5)-($F4*L$15^4)+($G4*L$15^3)-($H4*L$15^2)+($I4*L$15^1)-($J4)),0)</f>
        <v>0</v>
      </c>
      <c r="M17" s="45">
        <f>MAX(IF((
($D4*M$15^6)+($E4*M$15^5)-($F4*M$15^4)+($G4*M$15^3)-($H4*M$15^2)+($I4*M$15^1)-($J4))&gt;M$15,M$15,
($D4*M$15^6)+($E4*M$15^5)-($F4*M$15^4)+($G4*M$15^3)-($H4*M$15^2)+($I4*M$15^1)-($J4)),0)</f>
        <v>0</v>
      </c>
      <c r="O17" s="15" t="s">
        <v>279</v>
      </c>
    </row>
    <row r="18" spans="3:16" x14ac:dyDescent="0.25">
      <c r="G18" s="13">
        <v>3</v>
      </c>
      <c r="H18" s="45">
        <f>MAX(IF((
($D8*H$15^6)-($E8*H$15^5)+($F8*H$15^4)-($G8*H$15^3)+($H8*H$15^2)+($I8*H$15^1)+($J8))&gt;H$15,H$15,
($D8*H$15^6)-($E8*H$15^5)+($F8*H$15^4)-($G8*H$15^3)+($H8*H$15^2)+($I8*H$15^1)+($J8)),0)</f>
        <v>0</v>
      </c>
      <c r="I18" s="45">
        <f>MAX(IF((
($D8*I$15^6)-($E8*I$15^5)+($F8*I$15^4)-($G8*I$15^3)+($H8*I$15^2)+($I8*I$15^1)+($J8))&gt;I$15,I$15,
($D8*I$15^6)-($E8*I$15^5)+($F8*I$15^4)-($G8*I$15^3)+($H8*I$15^2)+($I8*I$15^1)+($J8)),0)</f>
        <v>0</v>
      </c>
      <c r="K18" s="13">
        <v>3</v>
      </c>
      <c r="L18" s="45">
        <f>MAX(IF((
($D5*L$15^6)-($E5*L$15^5)+($F5*L$15^4)-($G5*L$15^3)+($H5*L$15^2)+($I5*L$15^1)+($J5))&gt;L$15,L$15,
($D5*L$15^6)-($E5*L$15^5)+($F5*L$15^4)-($G5*L$15^3)+($H5*L$15^2)+($I5*L$15^1)+($J5)),0)</f>
        <v>0</v>
      </c>
      <c r="M18" s="45">
        <f>MAX(IF((
($D5*M$15^6)-($E5*M$15^5)+($F5*M$15^4)-($G5*M$15^3)+($H5*M$15^2)+($I5*M$15^1)+($J5))&gt;M$15,M$15,
($D5*M$15^6)-($E5*M$15^5)+($F5*M$15^4)-($G5*M$15^3)+($H5*M$15^2)+($I5*M$15^1)+($J5)),0)</f>
        <v>0</v>
      </c>
    </row>
    <row r="19" spans="3:16" x14ac:dyDescent="0.25">
      <c r="C19" s="15" t="s">
        <v>199</v>
      </c>
      <c r="D19" s="15" t="s">
        <v>17</v>
      </c>
      <c r="E19" s="15" t="s">
        <v>18</v>
      </c>
      <c r="O19" s="29" t="s">
        <v>17</v>
      </c>
      <c r="P19" s="29" t="s">
        <v>18</v>
      </c>
    </row>
    <row r="20" spans="3:16" x14ac:dyDescent="0.25">
      <c r="C20" s="14" t="s">
        <v>16</v>
      </c>
      <c r="D20" s="31">
        <f>IFERROR(D12/D$16,0)</f>
        <v>0</v>
      </c>
      <c r="E20" s="31">
        <f>IFERROR(E12/E$16,0)</f>
        <v>0</v>
      </c>
      <c r="O20" s="45">
        <f>H15-O15</f>
        <v>0</v>
      </c>
      <c r="P20" s="45">
        <f>I15-P15</f>
        <v>0</v>
      </c>
    </row>
    <row r="21" spans="3:16" x14ac:dyDescent="0.25">
      <c r="C21" s="14" t="s">
        <v>197</v>
      </c>
      <c r="D21" s="31">
        <f t="shared" ref="D21:E21" si="1">IFERROR(D13/D$16,0)</f>
        <v>0</v>
      </c>
      <c r="E21" s="31">
        <f t="shared" si="1"/>
        <v>0</v>
      </c>
    </row>
    <row r="22" spans="3:16" x14ac:dyDescent="0.25">
      <c r="C22" s="14" t="s">
        <v>19</v>
      </c>
      <c r="D22" s="31">
        <f t="shared" ref="D22:E22" si="2">IFERROR(D14/D$16,0)</f>
        <v>0</v>
      </c>
      <c r="E22" s="31">
        <f t="shared" si="2"/>
        <v>0</v>
      </c>
    </row>
    <row r="23" spans="3:16" x14ac:dyDescent="0.25">
      <c r="C23" s="14" t="s">
        <v>198</v>
      </c>
      <c r="D23" s="31">
        <f t="shared" ref="D23:E23" si="3">IFERROR(D15/D$16,0)</f>
        <v>0</v>
      </c>
      <c r="E23" s="31">
        <f t="shared" si="3"/>
        <v>0</v>
      </c>
    </row>
    <row r="25" spans="3:16" x14ac:dyDescent="0.25">
      <c r="C25" s="71" t="s">
        <v>277</v>
      </c>
      <c r="D25" s="72">
        <f>IF(D21&gt;0.5,1,0)</f>
        <v>0</v>
      </c>
      <c r="E25" s="72">
        <f>IF(E21&gt;0.5,1,0)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86A01-19AA-4828-9117-9F00D26FFE06}">
  <sheetPr codeName="Sheet7"/>
  <dimension ref="B2:AT32"/>
  <sheetViews>
    <sheetView topLeftCell="X1" workbookViewId="0">
      <selection activeCell="AQ13" sqref="AQ13"/>
    </sheetView>
  </sheetViews>
  <sheetFormatPr defaultColWidth="10.7109375" defaultRowHeight="12.75" x14ac:dyDescent="0.2"/>
  <cols>
    <col min="1" max="4" width="10.7109375" style="16"/>
    <col min="5" max="5" width="10.85546875" style="16" bestFit="1" customWidth="1"/>
    <col min="6" max="8" width="10.7109375" style="16"/>
    <col min="9" max="9" width="10.85546875" style="16" bestFit="1" customWidth="1"/>
    <col min="10" max="10" width="12.140625" style="16" bestFit="1" customWidth="1"/>
    <col min="11" max="11" width="10.85546875" style="16" bestFit="1" customWidth="1"/>
    <col min="12" max="22" width="10.7109375" style="16"/>
    <col min="23" max="23" width="12.28515625" style="16" bestFit="1" customWidth="1"/>
    <col min="24" max="44" width="10.7109375" style="16"/>
    <col min="45" max="45" width="35.140625" style="16" bestFit="1" customWidth="1"/>
    <col min="46" max="16384" width="10.7109375" style="16"/>
  </cols>
  <sheetData>
    <row r="2" spans="2:46" x14ac:dyDescent="0.2">
      <c r="G2" s="17"/>
    </row>
    <row r="4" spans="2:46" s="27" customFormat="1" ht="15.75" x14ac:dyDescent="0.25">
      <c r="B4" s="26" t="s">
        <v>93</v>
      </c>
      <c r="G4" s="26" t="s">
        <v>86</v>
      </c>
      <c r="M4" s="26" t="s">
        <v>94</v>
      </c>
      <c r="R4" s="26" t="s">
        <v>221</v>
      </c>
      <c r="V4" s="26" t="s">
        <v>249</v>
      </c>
      <c r="Z4" s="26" t="s">
        <v>268</v>
      </c>
      <c r="AD4" s="26" t="s">
        <v>347</v>
      </c>
      <c r="AH4" s="26" t="s">
        <v>298</v>
      </c>
      <c r="AL4" s="26" t="s">
        <v>305</v>
      </c>
      <c r="AP4" s="26" t="s">
        <v>322</v>
      </c>
      <c r="AS4" s="26" t="s">
        <v>370</v>
      </c>
    </row>
    <row r="6" spans="2:46" x14ac:dyDescent="0.2">
      <c r="E6" s="23"/>
      <c r="G6" s="17" t="s">
        <v>76</v>
      </c>
      <c r="R6" s="16" t="s">
        <v>222</v>
      </c>
    </row>
    <row r="7" spans="2:46" ht="15" x14ac:dyDescent="0.25">
      <c r="B7" s="17" t="s">
        <v>16</v>
      </c>
      <c r="E7" s="23"/>
      <c r="I7" s="17" t="s">
        <v>77</v>
      </c>
      <c r="J7" s="17" t="s">
        <v>78</v>
      </c>
      <c r="K7" s="17" t="s">
        <v>79</v>
      </c>
      <c r="O7" s="16" t="s">
        <v>95</v>
      </c>
      <c r="P7" s="16" t="s">
        <v>96</v>
      </c>
      <c r="S7" s="16" t="s">
        <v>225</v>
      </c>
      <c r="T7" s="16" t="s">
        <v>226</v>
      </c>
      <c r="Z7" s="314" t="s">
        <v>269</v>
      </c>
      <c r="AA7" s="314"/>
      <c r="AB7" s="69">
        <v>74</v>
      </c>
      <c r="AD7" s="7" t="s">
        <v>342</v>
      </c>
      <c r="AF7" s="25">
        <v>1.1000000000000001</v>
      </c>
      <c r="AH7" s="314" t="s">
        <v>217</v>
      </c>
      <c r="AI7" s="315"/>
      <c r="AJ7" s="24">
        <v>0</v>
      </c>
      <c r="AL7" s="314" t="s">
        <v>307</v>
      </c>
      <c r="AM7" s="315"/>
      <c r="AN7" s="25">
        <v>0.03</v>
      </c>
      <c r="AP7" s="16">
        <v>10</v>
      </c>
      <c r="AQ7" s="20">
        <v>7.3899999999999993E-2</v>
      </c>
      <c r="AS7" t="s">
        <v>1</v>
      </c>
      <c r="AT7" s="24">
        <v>4.5</v>
      </c>
    </row>
    <row r="8" spans="2:46" ht="15" x14ac:dyDescent="0.25">
      <c r="B8" s="314" t="s">
        <v>88</v>
      </c>
      <c r="C8" s="314"/>
      <c r="D8" s="316"/>
      <c r="E8" s="18">
        <v>1</v>
      </c>
      <c r="G8" s="16" t="s">
        <v>80</v>
      </c>
      <c r="I8" s="19">
        <v>0</v>
      </c>
      <c r="J8" s="19">
        <v>12570</v>
      </c>
      <c r="K8" s="20">
        <v>0</v>
      </c>
      <c r="M8" s="16" t="s">
        <v>22</v>
      </c>
      <c r="O8" s="24">
        <v>22015</v>
      </c>
      <c r="P8" s="25">
        <v>0.09</v>
      </c>
      <c r="R8" s="16" t="s">
        <v>223</v>
      </c>
      <c r="S8" s="63">
        <v>0</v>
      </c>
      <c r="T8" s="64">
        <v>0</v>
      </c>
      <c r="V8" s="16" t="s">
        <v>250</v>
      </c>
      <c r="W8" s="24">
        <v>7.0440000000000004E-17</v>
      </c>
      <c r="Z8" s="314" t="s">
        <v>270</v>
      </c>
      <c r="AA8" s="314"/>
      <c r="AB8" s="69">
        <v>48</v>
      </c>
      <c r="AD8" s="7" t="s">
        <v>63</v>
      </c>
      <c r="AF8" s="25">
        <v>1</v>
      </c>
      <c r="AH8" s="314" t="s">
        <v>218</v>
      </c>
      <c r="AI8" s="315"/>
      <c r="AJ8" s="24">
        <v>0</v>
      </c>
      <c r="AL8" s="314" t="s">
        <v>306</v>
      </c>
      <c r="AM8" s="315"/>
      <c r="AN8" s="25">
        <v>0.4</v>
      </c>
      <c r="AP8" s="16">
        <v>11</v>
      </c>
      <c r="AQ8" s="20">
        <v>7.3899999999999993E-2</v>
      </c>
      <c r="AS8" t="s">
        <v>2</v>
      </c>
      <c r="AT8" s="24">
        <v>5.4</v>
      </c>
    </row>
    <row r="9" spans="2:46" ht="15" x14ac:dyDescent="0.25">
      <c r="B9" s="314" t="s">
        <v>89</v>
      </c>
      <c r="C9" s="314"/>
      <c r="D9" s="316"/>
      <c r="E9" s="18">
        <v>0.6</v>
      </c>
      <c r="G9" s="16" t="s">
        <v>81</v>
      </c>
      <c r="I9" s="19">
        <v>12570</v>
      </c>
      <c r="J9" s="19">
        <v>50270</v>
      </c>
      <c r="K9" s="20">
        <v>0.2</v>
      </c>
      <c r="M9" s="16" t="s">
        <v>23</v>
      </c>
      <c r="O9" s="24">
        <v>27295</v>
      </c>
      <c r="P9" s="25">
        <v>0.09</v>
      </c>
      <c r="R9" s="16" t="s">
        <v>227</v>
      </c>
      <c r="S9" s="63">
        <v>0</v>
      </c>
      <c r="T9" s="64">
        <v>0</v>
      </c>
      <c r="V9" s="16" t="s">
        <v>226</v>
      </c>
      <c r="W9" s="24">
        <v>3.4107548897000002E-10</v>
      </c>
      <c r="AD9" s="7" t="s">
        <v>343</v>
      </c>
      <c r="AF9" s="25">
        <v>1</v>
      </c>
      <c r="AH9" s="314" t="s">
        <v>253</v>
      </c>
      <c r="AI9" s="315"/>
      <c r="AJ9" s="69">
        <v>0</v>
      </c>
      <c r="AL9" s="108"/>
      <c r="AP9" s="16">
        <v>12</v>
      </c>
      <c r="AQ9" s="20">
        <v>7.3899999999999993E-2</v>
      </c>
      <c r="AS9" t="s">
        <v>414</v>
      </c>
      <c r="AT9" s="24">
        <v>4.5</v>
      </c>
    </row>
    <row r="10" spans="2:46" ht="15" x14ac:dyDescent="0.25">
      <c r="B10" s="314" t="s">
        <v>90</v>
      </c>
      <c r="C10" s="314"/>
      <c r="D10" s="316"/>
      <c r="E10" s="18">
        <v>0.05</v>
      </c>
      <c r="G10" s="16" t="s">
        <v>82</v>
      </c>
      <c r="I10" s="19">
        <v>50270</v>
      </c>
      <c r="J10" s="19">
        <v>125140</v>
      </c>
      <c r="K10" s="20">
        <v>0.4</v>
      </c>
      <c r="M10" s="16" t="s">
        <v>24</v>
      </c>
      <c r="O10" s="24">
        <v>21000</v>
      </c>
      <c r="P10" s="25">
        <v>0.06</v>
      </c>
      <c r="R10" s="16" t="s">
        <v>228</v>
      </c>
      <c r="S10" s="63">
        <v>0</v>
      </c>
      <c r="T10" s="64">
        <v>0</v>
      </c>
      <c r="V10" s="16" t="s">
        <v>251</v>
      </c>
      <c r="W10" s="24">
        <v>5.4619676218904505E-4</v>
      </c>
      <c r="AD10" s="7" t="s">
        <v>73</v>
      </c>
      <c r="AF10" s="25">
        <v>1</v>
      </c>
      <c r="AH10" s="314" t="s">
        <v>299</v>
      </c>
      <c r="AI10" s="315"/>
      <c r="AJ10" s="69">
        <v>0</v>
      </c>
      <c r="AP10" s="16">
        <v>13</v>
      </c>
      <c r="AQ10" s="20">
        <v>7.4399999999999994E-2</v>
      </c>
      <c r="AS10" t="s">
        <v>415</v>
      </c>
      <c r="AT10" s="24">
        <v>5</v>
      </c>
    </row>
    <row r="11" spans="2:46" ht="15" x14ac:dyDescent="0.25">
      <c r="B11" s="314"/>
      <c r="C11" s="314"/>
      <c r="D11" s="316"/>
      <c r="E11" s="23"/>
      <c r="G11" s="16" t="s">
        <v>83</v>
      </c>
      <c r="I11" s="19">
        <v>125140</v>
      </c>
      <c r="J11" s="19">
        <v>10000000</v>
      </c>
      <c r="K11" s="20">
        <v>0.45</v>
      </c>
      <c r="M11" s="16" t="s">
        <v>25</v>
      </c>
      <c r="O11" s="24">
        <v>0</v>
      </c>
      <c r="P11" s="25">
        <v>0</v>
      </c>
      <c r="R11" s="16" t="s">
        <v>229</v>
      </c>
      <c r="S11" s="63">
        <v>0</v>
      </c>
      <c r="T11" s="64">
        <v>0</v>
      </c>
      <c r="V11" s="16" t="s">
        <v>252</v>
      </c>
      <c r="W11" s="24">
        <v>51.64</v>
      </c>
      <c r="AD11" s="7" t="s">
        <v>344</v>
      </c>
      <c r="AF11" s="25">
        <v>1</v>
      </c>
      <c r="AP11" s="16">
        <v>14</v>
      </c>
      <c r="AQ11" s="20">
        <v>7.4399999999999994E-2</v>
      </c>
      <c r="AS11" t="s">
        <v>416</v>
      </c>
      <c r="AT11" s="24">
        <v>5.4</v>
      </c>
    </row>
    <row r="12" spans="2:46" ht="15" x14ac:dyDescent="0.25">
      <c r="B12" s="317" t="s">
        <v>91</v>
      </c>
      <c r="C12" s="317"/>
      <c r="D12" s="318"/>
      <c r="E12" s="23"/>
      <c r="M12" s="16" t="s">
        <v>26</v>
      </c>
      <c r="O12" s="24">
        <v>0</v>
      </c>
      <c r="P12" s="25">
        <v>0</v>
      </c>
      <c r="R12" s="16" t="s">
        <v>224</v>
      </c>
      <c r="S12" s="24">
        <v>615.11947999999995</v>
      </c>
      <c r="T12" s="116">
        <v>2.5999999999999998E-4</v>
      </c>
      <c r="V12" s="16" t="s">
        <v>253</v>
      </c>
      <c r="W12" s="24">
        <v>172</v>
      </c>
      <c r="AP12" s="16">
        <v>15</v>
      </c>
      <c r="AQ12" s="20">
        <v>6.9900000000000004E-2</v>
      </c>
      <c r="AS12" t="s">
        <v>4</v>
      </c>
      <c r="AT12" s="24">
        <v>4.5</v>
      </c>
    </row>
    <row r="13" spans="2:46" ht="15" x14ac:dyDescent="0.25">
      <c r="B13" s="314" t="s">
        <v>31</v>
      </c>
      <c r="C13" s="314"/>
      <c r="D13" s="316"/>
      <c r="E13" s="18">
        <v>1</v>
      </c>
      <c r="R13" s="16" t="s">
        <v>230</v>
      </c>
      <c r="S13" s="24">
        <v>752.10540000000003</v>
      </c>
      <c r="T13" s="116">
        <v>2.5000000000000001E-4</v>
      </c>
      <c r="V13" s="16" t="s">
        <v>254</v>
      </c>
      <c r="W13" s="24">
        <v>442</v>
      </c>
      <c r="AP13" s="16">
        <v>16</v>
      </c>
      <c r="AQ13" s="20">
        <v>7.3899999999999993E-2</v>
      </c>
      <c r="AS13" t="s">
        <v>6</v>
      </c>
      <c r="AT13" s="24">
        <v>4.5</v>
      </c>
    </row>
    <row r="14" spans="2:46" ht="15" x14ac:dyDescent="0.25">
      <c r="B14" s="314" t="s">
        <v>32</v>
      </c>
      <c r="C14" s="314"/>
      <c r="D14" s="316"/>
      <c r="E14" s="18">
        <v>0.9</v>
      </c>
      <c r="G14" s="17" t="s">
        <v>84</v>
      </c>
      <c r="H14" s="17"/>
      <c r="R14" s="16" t="s">
        <v>231</v>
      </c>
      <c r="S14" s="24">
        <v>889.08369000000005</v>
      </c>
      <c r="T14" s="116">
        <v>2.4000000000000001E-4</v>
      </c>
      <c r="AP14" s="16">
        <v>40</v>
      </c>
      <c r="AQ14" s="20">
        <v>7.4399999999999994E-2</v>
      </c>
      <c r="AS14" t="s">
        <v>413</v>
      </c>
      <c r="AT14" s="24">
        <v>5</v>
      </c>
    </row>
    <row r="15" spans="2:46" ht="15.75" x14ac:dyDescent="0.25">
      <c r="B15" s="314" t="s">
        <v>33</v>
      </c>
      <c r="C15" s="314"/>
      <c r="D15" s="316"/>
      <c r="E15" s="18">
        <v>0.95</v>
      </c>
      <c r="I15" s="17" t="s">
        <v>77</v>
      </c>
      <c r="J15" s="17" t="s">
        <v>78</v>
      </c>
      <c r="K15" s="17" t="s">
        <v>79</v>
      </c>
      <c r="M15" s="26"/>
      <c r="R15" s="16" t="s">
        <v>232</v>
      </c>
      <c r="S15" s="24">
        <v>1026.0573899999999</v>
      </c>
      <c r="T15" s="116">
        <v>2.4000000000000001E-4</v>
      </c>
      <c r="V15" s="16" t="s">
        <v>263</v>
      </c>
      <c r="X15" s="25">
        <v>0.75</v>
      </c>
      <c r="AP15" s="16">
        <v>41</v>
      </c>
      <c r="AQ15" s="20">
        <v>7.4399999999999994E-2</v>
      </c>
      <c r="AS15" s="16" t="s">
        <v>419</v>
      </c>
      <c r="AT15" s="24">
        <v>4.5</v>
      </c>
    </row>
    <row r="16" spans="2:46" ht="14.25" x14ac:dyDescent="0.2">
      <c r="B16" s="314"/>
      <c r="C16" s="314"/>
      <c r="D16" s="316"/>
      <c r="E16" s="23"/>
      <c r="G16" s="16" t="s">
        <v>80</v>
      </c>
      <c r="I16" s="19">
        <v>0</v>
      </c>
      <c r="J16" s="21">
        <v>2000</v>
      </c>
      <c r="K16" s="20">
        <v>0</v>
      </c>
      <c r="R16" s="16" t="s">
        <v>233</v>
      </c>
      <c r="S16" s="24">
        <v>1044.52637</v>
      </c>
      <c r="T16" s="116">
        <v>2.5999999999999998E-4</v>
      </c>
      <c r="V16" s="16" t="s">
        <v>264</v>
      </c>
      <c r="X16" s="25">
        <v>2</v>
      </c>
    </row>
    <row r="17" spans="2:20" ht="14.25" x14ac:dyDescent="0.2">
      <c r="B17" s="317" t="s">
        <v>92</v>
      </c>
      <c r="C17" s="317"/>
      <c r="D17" s="318"/>
      <c r="E17" s="23"/>
      <c r="G17" s="16" t="s">
        <v>81</v>
      </c>
      <c r="I17" s="19">
        <v>12570</v>
      </c>
      <c r="J17" s="21">
        <v>50270</v>
      </c>
      <c r="K17" s="20">
        <v>8.7499999999999994E-2</v>
      </c>
      <c r="L17" s="28"/>
      <c r="R17" s="16" t="s">
        <v>234</v>
      </c>
      <c r="S17" s="24">
        <v>1181.5090600000001</v>
      </c>
      <c r="T17" s="116">
        <v>2.5999999999999998E-4</v>
      </c>
    </row>
    <row r="18" spans="2:20" ht="14.25" x14ac:dyDescent="0.2">
      <c r="B18" s="314" t="s">
        <v>118</v>
      </c>
      <c r="C18" s="314"/>
      <c r="D18" s="316"/>
      <c r="E18" s="18">
        <v>1</v>
      </c>
      <c r="G18" s="16" t="s">
        <v>82</v>
      </c>
      <c r="I18" s="21">
        <v>50270</v>
      </c>
      <c r="J18" s="21">
        <v>125140</v>
      </c>
      <c r="K18" s="20">
        <v>0.33750000000000002</v>
      </c>
      <c r="L18" s="28"/>
      <c r="R18" s="16" t="s">
        <v>235</v>
      </c>
      <c r="S18" s="24">
        <v>1318.4872600000001</v>
      </c>
      <c r="T18" s="116">
        <v>2.5999999999999998E-4</v>
      </c>
    </row>
    <row r="19" spans="2:20" ht="14.25" x14ac:dyDescent="0.2">
      <c r="B19" s="314" t="s">
        <v>119</v>
      </c>
      <c r="C19" s="314"/>
      <c r="D19" s="316"/>
      <c r="E19" s="18">
        <v>0.5</v>
      </c>
      <c r="G19" s="16" t="s">
        <v>83</v>
      </c>
      <c r="I19" s="21">
        <v>125140</v>
      </c>
      <c r="J19" s="21">
        <v>10000000</v>
      </c>
      <c r="K19" s="20">
        <v>0.39350000000000002</v>
      </c>
      <c r="L19" s="28"/>
      <c r="R19" s="16" t="s">
        <v>236</v>
      </c>
      <c r="S19" s="24">
        <v>1455.4622300000001</v>
      </c>
      <c r="T19" s="116">
        <v>2.5000000000000001E-4</v>
      </c>
    </row>
    <row r="20" spans="2:20" x14ac:dyDescent="0.2">
      <c r="B20" s="314" t="s">
        <v>120</v>
      </c>
      <c r="C20" s="314"/>
      <c r="D20" s="316"/>
      <c r="E20" s="18">
        <v>1</v>
      </c>
    </row>
    <row r="21" spans="2:20" x14ac:dyDescent="0.2">
      <c r="E21" s="23"/>
      <c r="G21" s="17" t="s">
        <v>85</v>
      </c>
      <c r="H21" s="17"/>
      <c r="R21" s="16" t="s">
        <v>237</v>
      </c>
      <c r="S21" s="63">
        <v>0</v>
      </c>
      <c r="T21" s="64">
        <v>0</v>
      </c>
    </row>
    <row r="22" spans="2:20" x14ac:dyDescent="0.2">
      <c r="I22" s="17" t="s">
        <v>77</v>
      </c>
      <c r="J22" s="17" t="s">
        <v>78</v>
      </c>
      <c r="K22" s="17" t="s">
        <v>79</v>
      </c>
      <c r="R22" s="16" t="s">
        <v>238</v>
      </c>
      <c r="S22" s="63">
        <v>0</v>
      </c>
      <c r="T22" s="64">
        <v>0</v>
      </c>
    </row>
    <row r="23" spans="2:20" x14ac:dyDescent="0.2">
      <c r="G23" s="16" t="s">
        <v>25</v>
      </c>
      <c r="I23" s="19">
        <v>0</v>
      </c>
      <c r="J23" s="19">
        <v>12570</v>
      </c>
      <c r="K23" s="22">
        <v>0</v>
      </c>
      <c r="R23" s="16" t="s">
        <v>239</v>
      </c>
      <c r="S23" s="63">
        <v>0</v>
      </c>
      <c r="T23" s="64">
        <v>0</v>
      </c>
    </row>
    <row r="24" spans="2:20" x14ac:dyDescent="0.2">
      <c r="G24" s="16" t="s">
        <v>81</v>
      </c>
      <c r="I24" s="19">
        <v>12570</v>
      </c>
      <c r="J24" s="21">
        <v>50270</v>
      </c>
      <c r="K24" s="22">
        <v>0.08</v>
      </c>
      <c r="R24" s="16" t="s">
        <v>240</v>
      </c>
      <c r="S24" s="63">
        <v>0</v>
      </c>
      <c r="T24" s="64">
        <v>0</v>
      </c>
    </row>
    <row r="25" spans="2:20" ht="17.25" x14ac:dyDescent="0.25">
      <c r="G25" s="16" t="s">
        <v>82</v>
      </c>
      <c r="I25" s="21">
        <v>50270</v>
      </c>
      <c r="J25" s="19">
        <v>10000000</v>
      </c>
      <c r="K25" s="22">
        <v>0.02</v>
      </c>
      <c r="R25" s="16" t="s">
        <v>241</v>
      </c>
      <c r="S25" s="117">
        <v>577.86346000000003</v>
      </c>
      <c r="T25" s="118">
        <v>2.4000000000000001E-4</v>
      </c>
    </row>
    <row r="26" spans="2:20" ht="17.25" x14ac:dyDescent="0.25">
      <c r="R26" s="16" t="s">
        <v>242</v>
      </c>
      <c r="S26" s="117">
        <v>707.23559</v>
      </c>
      <c r="T26" s="118">
        <v>2.3000000000000001E-4</v>
      </c>
    </row>
    <row r="27" spans="2:20" ht="17.25" x14ac:dyDescent="0.25">
      <c r="R27" s="16" t="s">
        <v>243</v>
      </c>
      <c r="S27" s="117">
        <v>836.31160999999997</v>
      </c>
      <c r="T27" s="118">
        <v>2.3000000000000001E-4</v>
      </c>
    </row>
    <row r="28" spans="2:20" ht="17.25" x14ac:dyDescent="0.25">
      <c r="R28" s="16" t="s">
        <v>244</v>
      </c>
      <c r="S28" s="117">
        <v>965.87381000000005</v>
      </c>
      <c r="T28" s="118">
        <v>2.3000000000000001E-4</v>
      </c>
    </row>
    <row r="29" spans="2:20" ht="17.25" x14ac:dyDescent="0.25">
      <c r="R29" s="16" t="s">
        <v>245</v>
      </c>
      <c r="S29" s="117">
        <v>974.83929999999998</v>
      </c>
      <c r="T29" s="118">
        <v>2.4000000000000001E-4</v>
      </c>
    </row>
    <row r="30" spans="2:20" ht="17.25" x14ac:dyDescent="0.25">
      <c r="R30" s="16" t="s">
        <v>246</v>
      </c>
      <c r="S30" s="117">
        <v>1105.7361100000001</v>
      </c>
      <c r="T30" s="118">
        <v>2.4000000000000001E-4</v>
      </c>
    </row>
    <row r="31" spans="2:20" ht="17.25" x14ac:dyDescent="0.25">
      <c r="R31" s="16" t="s">
        <v>247</v>
      </c>
      <c r="S31" s="117">
        <v>1234.75837</v>
      </c>
      <c r="T31" s="118">
        <v>2.4000000000000001E-4</v>
      </c>
    </row>
    <row r="32" spans="2:20" ht="17.25" x14ac:dyDescent="0.25">
      <c r="R32" s="16" t="s">
        <v>248</v>
      </c>
      <c r="S32" s="117">
        <v>1364.1409000000001</v>
      </c>
      <c r="T32" s="118">
        <v>2.3000000000000001E-4</v>
      </c>
    </row>
  </sheetData>
  <mergeCells count="21">
    <mergeCell ref="B9:D9"/>
    <mergeCell ref="B10:D10"/>
    <mergeCell ref="B11:D11"/>
    <mergeCell ref="B12:D12"/>
    <mergeCell ref="B13:D13"/>
    <mergeCell ref="AL7:AM7"/>
    <mergeCell ref="AL8:AM8"/>
    <mergeCell ref="B20:D20"/>
    <mergeCell ref="Z7:AA7"/>
    <mergeCell ref="Z8:AA8"/>
    <mergeCell ref="AH7:AI7"/>
    <mergeCell ref="AH8:AI8"/>
    <mergeCell ref="AH9:AI9"/>
    <mergeCell ref="AH10:AI10"/>
    <mergeCell ref="B14:D14"/>
    <mergeCell ref="B15:D15"/>
    <mergeCell ref="B16:D16"/>
    <mergeCell ref="B17:D17"/>
    <mergeCell ref="B18:D18"/>
    <mergeCell ref="B19:D19"/>
    <mergeCell ref="B8:D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D40CC-0287-4356-97A1-F51EF0CACB62}">
  <sheetPr codeName="Sheet8"/>
  <dimension ref="B4:R17"/>
  <sheetViews>
    <sheetView workbookViewId="0">
      <selection activeCell="D10" sqref="D10"/>
    </sheetView>
  </sheetViews>
  <sheetFormatPr defaultColWidth="8.5703125" defaultRowHeight="15" x14ac:dyDescent="0.25"/>
  <cols>
    <col min="1" max="4" width="8.5703125" style="14"/>
    <col min="5" max="6" width="11" style="14" customWidth="1"/>
    <col min="7" max="10" width="8.5703125" style="14"/>
    <col min="11" max="12" width="11" style="14" customWidth="1"/>
    <col min="13" max="16" width="8.5703125" style="14"/>
    <col min="17" max="18" width="11" style="14" customWidth="1"/>
    <col min="19" max="16384" width="8.5703125" style="14"/>
  </cols>
  <sheetData>
    <row r="4" spans="2:18" s="49" customFormat="1" ht="21" x14ac:dyDescent="0.35">
      <c r="B4" s="49" t="s">
        <v>152</v>
      </c>
      <c r="H4" s="49" t="s">
        <v>149</v>
      </c>
      <c r="N4" s="49" t="s">
        <v>150</v>
      </c>
    </row>
    <row r="5" spans="2:18" s="15" customFormat="1" x14ac:dyDescent="0.25">
      <c r="E5" s="15" t="s">
        <v>17</v>
      </c>
      <c r="F5" s="15" t="s">
        <v>18</v>
      </c>
      <c r="K5" s="15" t="s">
        <v>17</v>
      </c>
      <c r="L5" s="15" t="s">
        <v>18</v>
      </c>
      <c r="Q5" s="15" t="s">
        <v>17</v>
      </c>
      <c r="R5" s="15" t="s">
        <v>18</v>
      </c>
    </row>
    <row r="6" spans="2:18" s="42" customFormat="1" ht="18.75" x14ac:dyDescent="0.3">
      <c r="B6" s="42" t="s">
        <v>147</v>
      </c>
      <c r="E6" s="44">
        <f>TaxNIUK!D6+TaxNIUK!O6</f>
        <v>0</v>
      </c>
      <c r="F6" s="44">
        <f>TaxNIUK!E6+TaxNIUK!P6</f>
        <v>0</v>
      </c>
      <c r="H6" s="42" t="str">
        <f>B6</f>
        <v>Taxable Income</v>
      </c>
      <c r="K6" s="50">
        <f>E6/12</f>
        <v>0</v>
      </c>
      <c r="L6" s="50">
        <f>F6/12</f>
        <v>0</v>
      </c>
      <c r="N6" s="42" t="str">
        <f>H6</f>
        <v>Taxable Income</v>
      </c>
      <c r="Q6" s="50">
        <f>E6/52</f>
        <v>0</v>
      </c>
      <c r="R6" s="50">
        <f>F6/52</f>
        <v>0</v>
      </c>
    </row>
    <row r="8" spans="2:18" x14ac:dyDescent="0.25">
      <c r="B8" s="14" t="s">
        <v>177</v>
      </c>
      <c r="E8" s="13">
        <f>TaxNIUK!D44+TaxNIUK!O44</f>
        <v>0</v>
      </c>
      <c r="F8" s="13">
        <f>TaxNIUK!E44+TaxNIUK!P44</f>
        <v>0</v>
      </c>
      <c r="H8" s="14" t="str">
        <f>B8</f>
        <v>Tax Payable</v>
      </c>
      <c r="K8" s="45">
        <f>E8/12</f>
        <v>0</v>
      </c>
      <c r="L8" s="45">
        <f>F8/12</f>
        <v>0</v>
      </c>
      <c r="N8" s="14" t="str">
        <f>H8</f>
        <v>Tax Payable</v>
      </c>
      <c r="Q8" s="45">
        <f>E8/52</f>
        <v>0</v>
      </c>
      <c r="R8" s="45">
        <f>F8/52</f>
        <v>0</v>
      </c>
    </row>
    <row r="9" spans="2:18" x14ac:dyDescent="0.25">
      <c r="B9" s="14" t="s">
        <v>178</v>
      </c>
      <c r="E9" s="45">
        <f>TaxNIUK!T44</f>
        <v>0</v>
      </c>
      <c r="F9" s="45">
        <f>TaxNIUK!U44</f>
        <v>0</v>
      </c>
      <c r="H9" s="14" t="str">
        <f>B9</f>
        <v>NI Payable</v>
      </c>
      <c r="K9" s="45">
        <f>E9/12</f>
        <v>0</v>
      </c>
      <c r="L9" s="45">
        <f>F9/12</f>
        <v>0</v>
      </c>
      <c r="N9" s="14" t="str">
        <f>H9</f>
        <v>NI Payable</v>
      </c>
      <c r="Q9" s="45">
        <f>E9/52</f>
        <v>0</v>
      </c>
      <c r="R9" s="45">
        <f>F9/52</f>
        <v>0</v>
      </c>
    </row>
    <row r="10" spans="2:18" s="15" customFormat="1" x14ac:dyDescent="0.25">
      <c r="B10" s="15" t="s">
        <v>179</v>
      </c>
      <c r="E10" s="48">
        <f>SUM(E8:E9)</f>
        <v>0</v>
      </c>
      <c r="F10" s="48">
        <f>SUM(F8:F9)</f>
        <v>0</v>
      </c>
      <c r="H10" s="15" t="str">
        <f>B10</f>
        <v>Total Deductions</v>
      </c>
      <c r="K10" s="48">
        <f>SUM(K8:K9)</f>
        <v>0</v>
      </c>
      <c r="L10" s="48">
        <f>SUM(L8:L9)</f>
        <v>0</v>
      </c>
      <c r="N10" s="15" t="str">
        <f>H10</f>
        <v>Total Deductions</v>
      </c>
      <c r="Q10" s="48">
        <f>SUM(Q8:Q9)</f>
        <v>0</v>
      </c>
      <c r="R10" s="48">
        <f>SUM(R8:R9)</f>
        <v>0</v>
      </c>
    </row>
    <row r="12" spans="2:18" s="42" customFormat="1" ht="18.75" x14ac:dyDescent="0.3">
      <c r="B12" s="42" t="s">
        <v>180</v>
      </c>
      <c r="E12" s="50">
        <f>(E6-E10)-SL!D9</f>
        <v>0</v>
      </c>
      <c r="F12" s="50">
        <f>(F6-F10)-SL!E9</f>
        <v>0</v>
      </c>
      <c r="H12" s="42" t="str">
        <f>B12</f>
        <v>Taxable Net</v>
      </c>
      <c r="K12" s="50">
        <f>E12/12</f>
        <v>0</v>
      </c>
      <c r="L12" s="50">
        <f>F12/12</f>
        <v>0</v>
      </c>
      <c r="N12" s="42" t="str">
        <f>H12</f>
        <v>Taxable Net</v>
      </c>
      <c r="Q12" s="50">
        <f>E12/52</f>
        <v>0</v>
      </c>
      <c r="R12" s="50">
        <f>F12/52</f>
        <v>0</v>
      </c>
    </row>
    <row r="14" spans="2:18" s="34" customFormat="1" ht="18.75" x14ac:dyDescent="0.3">
      <c r="B14" s="42" t="s">
        <v>151</v>
      </c>
      <c r="E14" s="51">
        <f>(SUM(Input!R31:S33)+Input!R36)*12</f>
        <v>0</v>
      </c>
      <c r="F14" s="51">
        <f>(SUM(Input!T31:U33)+Input!T36)*12</f>
        <v>0</v>
      </c>
      <c r="K14" s="50">
        <f>E14/12</f>
        <v>0</v>
      </c>
      <c r="L14" s="50">
        <f>F14/12</f>
        <v>0</v>
      </c>
      <c r="Q14" s="50">
        <f>E14/52</f>
        <v>0</v>
      </c>
      <c r="R14" s="50">
        <f>F14/52</f>
        <v>0</v>
      </c>
    </row>
    <row r="16" spans="2:18" s="34" customFormat="1" ht="18.75" x14ac:dyDescent="0.3">
      <c r="B16" s="42" t="s">
        <v>181</v>
      </c>
      <c r="E16" s="51">
        <f>E6+E14</f>
        <v>0</v>
      </c>
      <c r="F16" s="51">
        <f>F6+F14</f>
        <v>0</v>
      </c>
      <c r="H16" s="42" t="s">
        <v>181</v>
      </c>
      <c r="K16" s="33">
        <f>E16/12</f>
        <v>0</v>
      </c>
      <c r="L16" s="33">
        <f>F16/12</f>
        <v>0</v>
      </c>
      <c r="N16" s="42" t="s">
        <v>181</v>
      </c>
      <c r="Q16" s="51">
        <f>E16/52</f>
        <v>0</v>
      </c>
      <c r="R16" s="51">
        <f>F16/52</f>
        <v>0</v>
      </c>
    </row>
    <row r="17" spans="2:18" s="34" customFormat="1" ht="18.75" x14ac:dyDescent="0.3">
      <c r="B17" s="42" t="s">
        <v>182</v>
      </c>
      <c r="E17" s="51">
        <f>E12+E14</f>
        <v>0</v>
      </c>
      <c r="F17" s="51">
        <f>F12+F14</f>
        <v>0</v>
      </c>
      <c r="H17" s="42" t="s">
        <v>182</v>
      </c>
      <c r="K17" s="33">
        <f>E17/12</f>
        <v>0</v>
      </c>
      <c r="L17" s="33">
        <f>F17/12</f>
        <v>0</v>
      </c>
      <c r="N17" s="42" t="s">
        <v>182</v>
      </c>
      <c r="Q17" s="51">
        <f>E17/52</f>
        <v>0</v>
      </c>
      <c r="R17" s="51">
        <f>F17/52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C4D5C-2038-47EC-85F4-CEE918097ED1}">
  <sheetPr codeName="Sheet15"/>
  <dimension ref="B3:F15"/>
  <sheetViews>
    <sheetView workbookViewId="0">
      <selection activeCell="D10" sqref="D10"/>
    </sheetView>
  </sheetViews>
  <sheetFormatPr defaultColWidth="8.85546875" defaultRowHeight="15" x14ac:dyDescent="0.25"/>
  <cols>
    <col min="1" max="1" width="8.85546875" style="130"/>
    <col min="2" max="2" width="10" style="130" bestFit="1" customWidth="1"/>
    <col min="3" max="3" width="20" style="130" bestFit="1" customWidth="1"/>
    <col min="4" max="6" width="11.7109375" style="130" bestFit="1" customWidth="1"/>
    <col min="7" max="16384" width="8.85546875" style="130"/>
  </cols>
  <sheetData>
    <row r="3" spans="2:6" x14ac:dyDescent="0.25">
      <c r="D3" s="130" t="s">
        <v>17</v>
      </c>
      <c r="E3" s="130" t="s">
        <v>18</v>
      </c>
      <c r="F3" s="130" t="s">
        <v>148</v>
      </c>
    </row>
    <row r="4" spans="2:6" x14ac:dyDescent="0.25">
      <c r="B4" s="130" t="s">
        <v>372</v>
      </c>
      <c r="C4" s="130" t="s">
        <v>373</v>
      </c>
      <c r="D4" s="130">
        <f>IF(Input!R18="",0,Input!R18)</f>
        <v>0</v>
      </c>
      <c r="E4" s="130">
        <f>IF(Input!T18="",0,Input!T18)</f>
        <v>0</v>
      </c>
      <c r="F4" s="130">
        <f>SUM(D4:E4)</f>
        <v>0</v>
      </c>
    </row>
    <row r="5" spans="2:6" x14ac:dyDescent="0.25">
      <c r="C5" s="130" t="s">
        <v>374</v>
      </c>
      <c r="D5" s="130">
        <f>IF(Input!R19="",0,Input!R19*M!E9)</f>
        <v>0</v>
      </c>
      <c r="E5" s="130">
        <f>IF(Input!T19="",0,Input!T19*M!E9)</f>
        <v>0</v>
      </c>
      <c r="F5" s="130">
        <f>SUM(D5:E5)</f>
        <v>0</v>
      </c>
    </row>
    <row r="6" spans="2:6" x14ac:dyDescent="0.25">
      <c r="B6" s="130" t="s">
        <v>375</v>
      </c>
      <c r="C6" s="130" t="s">
        <v>376</v>
      </c>
      <c r="D6" s="130">
        <f>IF(Input!R24="",0,Input!R24)</f>
        <v>0</v>
      </c>
      <c r="E6" s="130">
        <f>IF(Input!T24="",0,Input!T24)</f>
        <v>0</v>
      </c>
      <c r="F6" s="130">
        <f t="shared" ref="F6:F14" si="0">SUM(D6:E6)</f>
        <v>0</v>
      </c>
    </row>
    <row r="7" spans="2:6" x14ac:dyDescent="0.25">
      <c r="C7" s="130" t="s">
        <v>377</v>
      </c>
      <c r="D7" s="130">
        <f>IF(Input!R25="",0,Input!R26)</f>
        <v>0</v>
      </c>
      <c r="E7" s="130">
        <f>IF(Input!T25="",0,Input!T26)</f>
        <v>0</v>
      </c>
      <c r="F7" s="130">
        <f t="shared" si="0"/>
        <v>0</v>
      </c>
    </row>
    <row r="8" spans="2:6" x14ac:dyDescent="0.25">
      <c r="C8" s="130" t="s">
        <v>378</v>
      </c>
      <c r="D8" s="130">
        <f>IF(Input!R26="",0,Input!R28)</f>
        <v>0</v>
      </c>
      <c r="E8" s="130">
        <f>IF(Input!T26="",0,Input!T28)</f>
        <v>0</v>
      </c>
      <c r="F8" s="130">
        <f t="shared" si="0"/>
        <v>0</v>
      </c>
    </row>
    <row r="9" spans="2:6" x14ac:dyDescent="0.25">
      <c r="B9" s="130" t="s">
        <v>379</v>
      </c>
      <c r="C9" s="131" t="s">
        <v>380</v>
      </c>
      <c r="D9" s="130">
        <f>IFERROR(Input!R31*12,0)</f>
        <v>0</v>
      </c>
      <c r="E9" s="130">
        <f>IFERROR(Input!T31*12,0)</f>
        <v>0</v>
      </c>
      <c r="F9" s="130">
        <f t="shared" si="0"/>
        <v>0</v>
      </c>
    </row>
    <row r="10" spans="2:6" x14ac:dyDescent="0.25">
      <c r="C10" s="131" t="s">
        <v>381</v>
      </c>
      <c r="D10" s="130">
        <f>IFERROR(Input!R32*12,0)</f>
        <v>0</v>
      </c>
      <c r="E10" s="130">
        <f>IFERROR(Input!T32*12,0)</f>
        <v>0</v>
      </c>
      <c r="F10" s="130">
        <f t="shared" si="0"/>
        <v>0</v>
      </c>
    </row>
    <row r="11" spans="2:6" x14ac:dyDescent="0.25">
      <c r="C11" s="131" t="s">
        <v>382</v>
      </c>
      <c r="D11" s="130">
        <f>IFERROR(Input!R33*12,0)</f>
        <v>0</v>
      </c>
      <c r="E11" s="130">
        <f>IFERROR(Input!T33*12,0)</f>
        <v>0</v>
      </c>
      <c r="F11" s="130">
        <f t="shared" si="0"/>
        <v>0</v>
      </c>
    </row>
    <row r="12" spans="2:6" x14ac:dyDescent="0.25">
      <c r="B12" s="130" t="s">
        <v>33</v>
      </c>
      <c r="C12" s="130" t="s">
        <v>383</v>
      </c>
      <c r="D12" s="130">
        <f>IFERROR(Input!R36*12,0)</f>
        <v>0</v>
      </c>
      <c r="E12" s="130">
        <f>IFERROR(Input!T36*12,0)</f>
        <v>0</v>
      </c>
      <c r="F12" s="130">
        <f t="shared" si="0"/>
        <v>0</v>
      </c>
    </row>
    <row r="13" spans="2:6" x14ac:dyDescent="0.25">
      <c r="C13" s="130" t="s">
        <v>384</v>
      </c>
      <c r="D13" s="130">
        <f>IFERROR(Input!R37*12,0)</f>
        <v>0</v>
      </c>
      <c r="E13" s="130">
        <f>IFERROR(Input!T37*12,0)</f>
        <v>0</v>
      </c>
      <c r="F13" s="130">
        <f t="shared" si="0"/>
        <v>0</v>
      </c>
    </row>
    <row r="14" spans="2:6" x14ac:dyDescent="0.25">
      <c r="B14" s="130" t="s">
        <v>385</v>
      </c>
      <c r="C14" s="130" t="s">
        <v>386</v>
      </c>
      <c r="D14" s="130">
        <f>GrsIncSum!N29+GrsIncSum!S29</f>
        <v>0</v>
      </c>
      <c r="E14" s="130">
        <f>GrsIncSum!O29+GrsIncSum!T29</f>
        <v>0</v>
      </c>
      <c r="F14" s="130">
        <f t="shared" si="0"/>
        <v>0</v>
      </c>
    </row>
    <row r="15" spans="2:6" x14ac:dyDescent="0.25">
      <c r="E15" s="130" t="s">
        <v>148</v>
      </c>
      <c r="F15" s="130">
        <f>SUM(F4:F14)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Input</vt:lpstr>
      <vt:lpstr>Lists</vt:lpstr>
      <vt:lpstr>GrsIncSum</vt:lpstr>
      <vt:lpstr>SL</vt:lpstr>
      <vt:lpstr>TaxNIUK</vt:lpstr>
      <vt:lpstr>TaxSSGsy</vt:lpstr>
      <vt:lpstr>M</vt:lpstr>
      <vt:lpstr>IncSumUK</vt:lpstr>
      <vt:lpstr>IncforLTI</vt:lpstr>
      <vt:lpstr>IncSumGsy</vt:lpstr>
      <vt:lpstr>Exp</vt:lpstr>
      <vt:lpstr>IncExpSummary</vt:lpstr>
      <vt:lpstr>L1</vt:lpstr>
      <vt:lpstr>LTI</vt:lpstr>
      <vt:lpstr>MaximumLoan</vt:lpstr>
      <vt:lpstr>Input!Print_Area</vt:lpstr>
    </vt:vector>
  </TitlesOfParts>
  <Company>Marsden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Low</dc:creator>
  <cp:lastModifiedBy>Katie Broome</cp:lastModifiedBy>
  <cp:lastPrinted>2022-08-22T14:00:20Z</cp:lastPrinted>
  <dcterms:created xsi:type="dcterms:W3CDTF">2022-01-14T12:19:36Z</dcterms:created>
  <dcterms:modified xsi:type="dcterms:W3CDTF">2024-10-25T08:53:20Z</dcterms:modified>
</cp:coreProperties>
</file>